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C:\Users\tahmad\AppData\Local\Microsoft\Windows\INetCache\Content.Outlook\10B5Z62P\"/>
    </mc:Choice>
  </mc:AlternateContent>
  <xr:revisionPtr revIDLastSave="0" documentId="8_{6CC56EA6-6002-4D53-ABF9-50906A1CB5D7}" xr6:coauthVersionLast="47" xr6:coauthVersionMax="47" xr10:uidLastSave="{00000000-0000-0000-0000-000000000000}"/>
  <bookViews>
    <workbookView xWindow="-28920" yWindow="-120" windowWidth="29040" windowHeight="15720" firstSheet="36" activeTab="40" xr2:uid="{00000000-000D-0000-FFFF-FFFF00000000}"/>
  </bookViews>
  <sheets>
    <sheet name="Konica 4221i Segment #7" sheetId="2" r:id="rId1"/>
    <sheet name="Konica 5021i Segment #7" sheetId="145" r:id="rId2"/>
    <sheet name="Konica 4051i-Segment #8" sheetId="148" r:id="rId3"/>
    <sheet name="Konica 4751i-Segment #9" sheetId="149" r:id="rId4"/>
    <sheet name="Konica 227-Segment #10" sheetId="128" r:id="rId5"/>
    <sheet name="Konica 301i-Segment #10 " sheetId="150" r:id="rId6"/>
    <sheet name="Konica C251i-Segment #11" sheetId="151" r:id="rId7"/>
    <sheet name="Konica C3320i-Segment #11" sheetId="141" state="hidden" r:id="rId8"/>
    <sheet name="Konica C301i-Segment #11" sheetId="152" r:id="rId9"/>
    <sheet name="Konica 361i-Segment #12" sheetId="153" r:id="rId10"/>
    <sheet name="Konica 451i-Segment #12" sheetId="154" r:id="rId11"/>
    <sheet name="Konica C361i-Segment #13" sheetId="155" r:id="rId12"/>
    <sheet name="Konica 551i-Segment #14" sheetId="157" r:id="rId13"/>
    <sheet name="Konica C451i-Segment #15" sheetId="158" r:id="rId14"/>
    <sheet name="Konica C551i-Segment #15" sheetId="159" r:id="rId15"/>
    <sheet name="Konica C651i-Segment #15" sheetId="160" r:id="rId16"/>
    <sheet name="Konica C751i-Segment #15" sheetId="46" r:id="rId17"/>
    <sheet name="Konica 651i-Segment #16" sheetId="161" r:id="rId18"/>
    <sheet name="Konica 751i-Segment #17" sheetId="136" r:id="rId19"/>
    <sheet name="Konica 850i-Segment #17" sheetId="162" r:id="rId20"/>
    <sheet name="Konica 950i-Segment #17" sheetId="163" r:id="rId21"/>
    <sheet name="Konica 4201i Segment #24" sheetId="166" r:id="rId22"/>
    <sheet name="Lexmark m1246 Segment #24" sheetId="167" r:id="rId23"/>
    <sheet name="HP M102w Segment #24" sheetId="168" state="hidden" r:id="rId24"/>
    <sheet name="Konica 4201i Segment #25" sheetId="169" r:id="rId25"/>
    <sheet name="Lexmark m3250 Segment #25" sheetId="170" r:id="rId26"/>
    <sheet name="HP M203dw Segment #25" sheetId="171" state="hidden" r:id="rId27"/>
    <sheet name="Konica 4701i Segment #26" sheetId="172" r:id="rId28"/>
    <sheet name="Lexmark m5255 Segment #26" sheetId="173" r:id="rId29"/>
    <sheet name="HP M404n Segment #26 " sheetId="174" state="hidden" r:id="rId30"/>
    <sheet name="Lexmark xc2235 Segment #27" sheetId="175" r:id="rId31"/>
    <sheet name="HP M254dw Segment #27" sheetId="176" state="hidden" r:id="rId32"/>
    <sheet name="Lexmark C4150 Segment #28" sheetId="177" r:id="rId33"/>
    <sheet name="HP M454dn Segment #28" sheetId="178" state="hidden" r:id="rId34"/>
    <sheet name="Lexmark C6160 Segment #29" sheetId="179" r:id="rId35"/>
    <sheet name="HP M555dn Segment #29" sheetId="180" state="hidden" r:id="rId36"/>
    <sheet name="KIP 740 Series Segment #30" sheetId="181" r:id="rId37"/>
    <sheet name="KIP 760 Series Segment #31" sheetId="182" r:id="rId38"/>
    <sheet name="KIP 71 Series (WF) Segment #40" sheetId="183" r:id="rId39"/>
    <sheet name="HP PWXL 3900 (WF) Segment #40" sheetId="184" state="hidden" r:id="rId40"/>
    <sheet name="KIP 7582 (WF) Segment #41" sheetId="185" r:id="rId41"/>
    <sheet name="HP PWXL 4200 (WF) Segment #41" sheetId="186" state="hidden" r:id="rId42"/>
    <sheet name="KIP 7984 (WF) Segment #42" sheetId="187" r:id="rId43"/>
    <sheet name="HP PWXL 4600 (WF) Segment # 42" sheetId="188" state="hidden" r:id="rId44"/>
    <sheet name="HP PWXL 5100 (WF) Segment # 43" sheetId="189" state="hidden" r:id="rId45"/>
    <sheet name="HP SDPRO T1700(WF) Segment # 45" sheetId="190" state="hidden" r:id="rId46"/>
    <sheet name="HP T2600dr (WF) Segment  46" sheetId="191" state="hidden" r:id="rId47"/>
    <sheet name="HP PWXL 4200 (WF) Segment # 47" sheetId="192" state="hidden" r:id="rId48"/>
    <sheet name="KIP 7171K4 (WF) Segment #48" sheetId="193" state="hidden" r:id="rId49"/>
    <sheet name="HP OfficeJet 200 Segment #49" sheetId="194" state="hidden" r:id="rId50"/>
    <sheet name="Konica 2100-PP Segment #50 " sheetId="195" r:id="rId51"/>
    <sheet name="Konica 7120-PP Segment #50" sheetId="196" r:id="rId52"/>
    <sheet name="Konica 7136-PP Segment #50" sheetId="197" r:id="rId53"/>
    <sheet name="Konica C4065-PP Segment #51" sheetId="198" r:id="rId54"/>
    <sheet name="Konica C4070-PP Segment #51" sheetId="199" r:id="rId55"/>
    <sheet name="Konica C4080-PP Segment #51" sheetId="200" r:id="rId56"/>
    <sheet name="Konica C7090e-PP Segment #51" sheetId="201" r:id="rId57"/>
    <sheet name="Konica C7100e-PP Segment #51" sheetId="202" r:id="rId58"/>
    <sheet name="Konica C12010-PP Segment #51" sheetId="203" r:id="rId59"/>
    <sheet name="Konica C14010-PP Segment #51" sheetId="204" r:id="rId60"/>
    <sheet name="Konica Plastics 3D Segment #52" sheetId="205" r:id="rId61"/>
    <sheet name="HP P57750dw Segment #54" sheetId="206" state="hidden" r:id="rId62"/>
    <sheet name="HP P57750dw Segment #55" sheetId="207" state="hidden" r:id="rId63"/>
    <sheet name="HP E58650z Segment #55a-b" sheetId="208" state="hidden" r:id="rId64"/>
    <sheet name="HP E58650z Segment #56" sheetId="209" state="hidden" r:id="rId65"/>
    <sheet name="HP E77650z Segment #57" sheetId="210" state="hidden" r:id="rId66"/>
    <sheet name="High Speed Additional Items" sheetId="211" r:id="rId67"/>
    <sheet name="MPS" sheetId="212" r:id="rId68"/>
    <sheet name="PaperCut" sheetId="213" r:id="rId69"/>
    <sheet name="Prism ScanPath" sheetId="214" r:id="rId70"/>
    <sheet name="Dispatcher Pheonix" sheetId="215" r:id="rId71"/>
    <sheet name="Bizhub Marketplace" sheetId="216" r:id="rId72"/>
    <sheet name="Square 9 " sheetId="217" r:id="rId73"/>
    <sheet name="WEB CRD" sheetId="218" r:id="rId74"/>
    <sheet name="AccurioPro" sheetId="219" r:id="rId75"/>
    <sheet name="HP Mobile  Security Solutions" sheetId="220" r:id="rId76"/>
    <sheet name="PrintShop Mail" sheetId="221" r:id="rId77"/>
    <sheet name="PlanetPress" sheetId="222" r:id="rId78"/>
    <sheet name="EngageIT" sheetId="223" r:id="rId79"/>
    <sheet name="Professional Services" sheetId="224" r:id="rId80"/>
    <sheet name="HP XL 8000 Segment #42" sheetId="146" state="hidden" r:id="rId81"/>
    <sheet name="HP T1600 (WF) Segment #48" sheetId="139" state="hidden" r:id="rId82"/>
    <sheet name="HP T1600dr (WF) Segment #48" sheetId="140" state="hidden" r:id="rId83"/>
  </sheets>
  <externalReferences>
    <externalReference r:id="rId84"/>
  </externalReferences>
  <definedNames>
    <definedName name="address" localSheetId="63">#REF!</definedName>
    <definedName name="address" localSheetId="64">#REF!</definedName>
    <definedName name="address" localSheetId="65">#REF!</definedName>
    <definedName name="address" localSheetId="23">#REF!</definedName>
    <definedName name="address" localSheetId="26">#REF!</definedName>
    <definedName name="address" localSheetId="31">#REF!</definedName>
    <definedName name="address" localSheetId="29">#REF!</definedName>
    <definedName name="address" localSheetId="33">#REF!</definedName>
    <definedName name="address" localSheetId="35">#REF!</definedName>
    <definedName name="address" localSheetId="49">#REF!</definedName>
    <definedName name="address" localSheetId="61">#REF!</definedName>
    <definedName name="address" localSheetId="62">#REF!</definedName>
    <definedName name="address" localSheetId="39">#REF!</definedName>
    <definedName name="address" localSheetId="47">#REF!</definedName>
    <definedName name="address" localSheetId="41">#REF!</definedName>
    <definedName name="address" localSheetId="43">#REF!</definedName>
    <definedName name="address" localSheetId="44">#REF!</definedName>
    <definedName name="address" localSheetId="45">#REF!</definedName>
    <definedName name="address" localSheetId="81">#REF!</definedName>
    <definedName name="address" localSheetId="82">#REF!</definedName>
    <definedName name="address" localSheetId="46">#REF!</definedName>
    <definedName name="address" localSheetId="48">#REF!</definedName>
    <definedName name="address" localSheetId="36">#REF!</definedName>
    <definedName name="address" localSheetId="40">#REF!</definedName>
    <definedName name="address" localSheetId="37">#REF!</definedName>
    <definedName name="address" localSheetId="42">#REF!</definedName>
    <definedName name="address" localSheetId="50">#REF!</definedName>
    <definedName name="address" localSheetId="5">#REF!</definedName>
    <definedName name="address" localSheetId="9">#REF!</definedName>
    <definedName name="address" localSheetId="10">#REF!</definedName>
    <definedName name="address" localSheetId="3">#REF!</definedName>
    <definedName name="address" localSheetId="58">#REF!</definedName>
    <definedName name="address" localSheetId="59">#REF!</definedName>
    <definedName name="address" localSheetId="7">#REF!</definedName>
    <definedName name="address" localSheetId="56">#REF!</definedName>
    <definedName name="address" localSheetId="57">#REF!</definedName>
    <definedName name="address" localSheetId="60">#REF!</definedName>
    <definedName name="address" localSheetId="32">#REF!</definedName>
    <definedName name="address" localSheetId="34">#REF!</definedName>
    <definedName name="address" localSheetId="22">#REF!</definedName>
    <definedName name="address" localSheetId="25">#REF!</definedName>
    <definedName name="address" localSheetId="28">#REF!</definedName>
    <definedName name="address" localSheetId="30">#REF!</definedName>
    <definedName name="address" localSheetId="68">#REF!</definedName>
    <definedName name="address" localSheetId="69">#REF!</definedName>
    <definedName name="address" localSheetId="73">#REF!</definedName>
    <definedName name="address">#REF!</definedName>
    <definedName name="city" localSheetId="63">#REF!</definedName>
    <definedName name="city" localSheetId="64">#REF!</definedName>
    <definedName name="city" localSheetId="65">#REF!</definedName>
    <definedName name="city" localSheetId="23">#REF!</definedName>
    <definedName name="city" localSheetId="26">#REF!</definedName>
    <definedName name="city" localSheetId="31">#REF!</definedName>
    <definedName name="city" localSheetId="29">#REF!</definedName>
    <definedName name="city" localSheetId="33">#REF!</definedName>
    <definedName name="city" localSheetId="35">#REF!</definedName>
    <definedName name="city" localSheetId="49">#REF!</definedName>
    <definedName name="city" localSheetId="61">#REF!</definedName>
    <definedName name="city" localSheetId="62">#REF!</definedName>
    <definedName name="city" localSheetId="39">#REF!</definedName>
    <definedName name="city" localSheetId="47">#REF!</definedName>
    <definedName name="city" localSheetId="41">#REF!</definedName>
    <definedName name="city" localSheetId="43">#REF!</definedName>
    <definedName name="city" localSheetId="44">#REF!</definedName>
    <definedName name="city" localSheetId="45">#REF!</definedName>
    <definedName name="city" localSheetId="81">#REF!</definedName>
    <definedName name="city" localSheetId="82">#REF!</definedName>
    <definedName name="city" localSheetId="46">#REF!</definedName>
    <definedName name="city" localSheetId="48">#REF!</definedName>
    <definedName name="city" localSheetId="36">#REF!</definedName>
    <definedName name="city" localSheetId="40">#REF!</definedName>
    <definedName name="city" localSheetId="37">#REF!</definedName>
    <definedName name="city" localSheetId="42">#REF!</definedName>
    <definedName name="city" localSheetId="50">#REF!</definedName>
    <definedName name="city" localSheetId="5">#REF!</definedName>
    <definedName name="city" localSheetId="9">#REF!</definedName>
    <definedName name="city" localSheetId="10">#REF!</definedName>
    <definedName name="city" localSheetId="3">#REF!</definedName>
    <definedName name="city" localSheetId="58">#REF!</definedName>
    <definedName name="city" localSheetId="59">#REF!</definedName>
    <definedName name="city" localSheetId="7">#REF!</definedName>
    <definedName name="city" localSheetId="56">#REF!</definedName>
    <definedName name="city" localSheetId="57">#REF!</definedName>
    <definedName name="city" localSheetId="60">#REF!</definedName>
    <definedName name="city" localSheetId="32">#REF!</definedName>
    <definedName name="city" localSheetId="34">#REF!</definedName>
    <definedName name="city" localSheetId="22">#REF!</definedName>
    <definedName name="city" localSheetId="25">#REF!</definedName>
    <definedName name="city" localSheetId="28">#REF!</definedName>
    <definedName name="city" localSheetId="30">#REF!</definedName>
    <definedName name="city" localSheetId="68">#REF!</definedName>
    <definedName name="city" localSheetId="69">#REF!</definedName>
    <definedName name="city" localSheetId="73">#REF!</definedName>
    <definedName name="city">#REF!</definedName>
    <definedName name="coloroverage" localSheetId="63">#REF!</definedName>
    <definedName name="coloroverage" localSheetId="64">#REF!</definedName>
    <definedName name="coloroverage" localSheetId="65">#REF!</definedName>
    <definedName name="coloroverage" localSheetId="23">#REF!</definedName>
    <definedName name="coloroverage" localSheetId="26">#REF!</definedName>
    <definedName name="coloroverage" localSheetId="31">#REF!</definedName>
    <definedName name="coloroverage" localSheetId="29">#REF!</definedName>
    <definedName name="coloroverage" localSheetId="33">#REF!</definedName>
    <definedName name="coloroverage" localSheetId="35">#REF!</definedName>
    <definedName name="coloroverage" localSheetId="49">#REF!</definedName>
    <definedName name="coloroverage" localSheetId="61">#REF!</definedName>
    <definedName name="coloroverage" localSheetId="62">#REF!</definedName>
    <definedName name="coloroverage" localSheetId="39">#REF!</definedName>
    <definedName name="coloroverage" localSheetId="47">#REF!</definedName>
    <definedName name="coloroverage" localSheetId="41">#REF!</definedName>
    <definedName name="coloroverage" localSheetId="43">#REF!</definedName>
    <definedName name="coloroverage" localSheetId="44">#REF!</definedName>
    <definedName name="coloroverage" localSheetId="45">#REF!</definedName>
    <definedName name="coloroverage" localSheetId="81">#REF!</definedName>
    <definedName name="coloroverage" localSheetId="82">#REF!</definedName>
    <definedName name="coloroverage" localSheetId="46">#REF!</definedName>
    <definedName name="coloroverage" localSheetId="48">#REF!</definedName>
    <definedName name="coloroverage" localSheetId="36">#REF!</definedName>
    <definedName name="coloroverage" localSheetId="40">#REF!</definedName>
    <definedName name="coloroverage" localSheetId="37">#REF!</definedName>
    <definedName name="coloroverage" localSheetId="42">#REF!</definedName>
    <definedName name="coloroverage" localSheetId="50">#REF!</definedName>
    <definedName name="coloroverage" localSheetId="5">#REF!</definedName>
    <definedName name="coloroverage" localSheetId="9">#REF!</definedName>
    <definedName name="coloroverage" localSheetId="10">#REF!</definedName>
    <definedName name="coloroverage" localSheetId="3">#REF!</definedName>
    <definedName name="coloroverage" localSheetId="58">#REF!</definedName>
    <definedName name="coloroverage" localSheetId="59">#REF!</definedName>
    <definedName name="coloroverage" localSheetId="7">#REF!</definedName>
    <definedName name="coloroverage" localSheetId="56">#REF!</definedName>
    <definedName name="coloroverage" localSheetId="57">#REF!</definedName>
    <definedName name="coloroverage" localSheetId="60">#REF!</definedName>
    <definedName name="coloroverage" localSheetId="32">#REF!</definedName>
    <definedName name="coloroverage" localSheetId="34">#REF!</definedName>
    <definedName name="coloroverage" localSheetId="22">#REF!</definedName>
    <definedName name="coloroverage" localSheetId="25">#REF!</definedName>
    <definedName name="coloroverage" localSheetId="28">#REF!</definedName>
    <definedName name="coloroverage" localSheetId="30">#REF!</definedName>
    <definedName name="coloroverage" localSheetId="68">#REF!</definedName>
    <definedName name="coloroverage" localSheetId="69">#REF!</definedName>
    <definedName name="coloroverage" localSheetId="73">#REF!</definedName>
    <definedName name="coloroverage">#REF!</definedName>
    <definedName name="companyname" localSheetId="63">#REF!</definedName>
    <definedName name="companyname" localSheetId="64">#REF!</definedName>
    <definedName name="companyname" localSheetId="65">#REF!</definedName>
    <definedName name="companyname" localSheetId="23">#REF!</definedName>
    <definedName name="companyname" localSheetId="26">#REF!</definedName>
    <definedName name="companyname" localSheetId="31">#REF!</definedName>
    <definedName name="companyname" localSheetId="29">#REF!</definedName>
    <definedName name="companyname" localSheetId="33">#REF!</definedName>
    <definedName name="companyname" localSheetId="35">#REF!</definedName>
    <definedName name="companyname" localSheetId="49">#REF!</definedName>
    <definedName name="companyname" localSheetId="61">#REF!</definedName>
    <definedName name="companyname" localSheetId="62">#REF!</definedName>
    <definedName name="companyname" localSheetId="39">#REF!</definedName>
    <definedName name="companyname" localSheetId="47">#REF!</definedName>
    <definedName name="companyname" localSheetId="41">#REF!</definedName>
    <definedName name="companyname" localSheetId="43">#REF!</definedName>
    <definedName name="companyname" localSheetId="44">#REF!</definedName>
    <definedName name="companyname" localSheetId="45">#REF!</definedName>
    <definedName name="companyname" localSheetId="81">#REF!</definedName>
    <definedName name="companyname" localSheetId="82">#REF!</definedName>
    <definedName name="companyname" localSheetId="46">#REF!</definedName>
    <definedName name="companyname" localSheetId="48">#REF!</definedName>
    <definedName name="companyname" localSheetId="36">#REF!</definedName>
    <definedName name="companyname" localSheetId="40">#REF!</definedName>
    <definedName name="companyname" localSheetId="37">#REF!</definedName>
    <definedName name="companyname" localSheetId="42">#REF!</definedName>
    <definedName name="companyname" localSheetId="50">#REF!</definedName>
    <definedName name="companyname" localSheetId="5">#REF!</definedName>
    <definedName name="companyname" localSheetId="9">#REF!</definedName>
    <definedName name="companyname" localSheetId="10">#REF!</definedName>
    <definedName name="companyname" localSheetId="3">#REF!</definedName>
    <definedName name="companyname" localSheetId="58">#REF!</definedName>
    <definedName name="companyname" localSheetId="59">#REF!</definedName>
    <definedName name="companyname" localSheetId="7">#REF!</definedName>
    <definedName name="companyname" localSheetId="56">#REF!</definedName>
    <definedName name="companyname" localSheetId="57">#REF!</definedName>
    <definedName name="companyname" localSheetId="60">#REF!</definedName>
    <definedName name="companyname" localSheetId="32">#REF!</definedName>
    <definedName name="companyname" localSheetId="34">#REF!</definedName>
    <definedName name="companyname" localSheetId="22">#REF!</definedName>
    <definedName name="companyname" localSheetId="25">#REF!</definedName>
    <definedName name="companyname" localSheetId="28">#REF!</definedName>
    <definedName name="companyname" localSheetId="30">#REF!</definedName>
    <definedName name="companyname" localSheetId="68">#REF!</definedName>
    <definedName name="companyname" localSheetId="69">#REF!</definedName>
    <definedName name="companyname" localSheetId="73">#REF!</definedName>
    <definedName name="companyname">#REF!</definedName>
    <definedName name="connectfees">'[1]Commission Worksheet'!$C$41</definedName>
    <definedName name="contactname" localSheetId="63">#REF!</definedName>
    <definedName name="contactname" localSheetId="64">#REF!</definedName>
    <definedName name="contactname" localSheetId="65">#REF!</definedName>
    <definedName name="contactname" localSheetId="23">#REF!</definedName>
    <definedName name="contactname" localSheetId="26">#REF!</definedName>
    <definedName name="contactname" localSheetId="31">#REF!</definedName>
    <definedName name="contactname" localSheetId="29">#REF!</definedName>
    <definedName name="contactname" localSheetId="33">#REF!</definedName>
    <definedName name="contactname" localSheetId="35">#REF!</definedName>
    <definedName name="contactname" localSheetId="49">#REF!</definedName>
    <definedName name="contactname" localSheetId="61">#REF!</definedName>
    <definedName name="contactname" localSheetId="62">#REF!</definedName>
    <definedName name="contactname" localSheetId="39">#REF!</definedName>
    <definedName name="contactname" localSheetId="47">#REF!</definedName>
    <definedName name="contactname" localSheetId="41">#REF!</definedName>
    <definedName name="contactname" localSheetId="43">#REF!</definedName>
    <definedName name="contactname" localSheetId="44">#REF!</definedName>
    <definedName name="contactname" localSheetId="45">#REF!</definedName>
    <definedName name="contactname" localSheetId="81">#REF!</definedName>
    <definedName name="contactname" localSheetId="82">#REF!</definedName>
    <definedName name="contactname" localSheetId="46">#REF!</definedName>
    <definedName name="contactname" localSheetId="48">#REF!</definedName>
    <definedName name="contactname" localSheetId="36">#REF!</definedName>
    <definedName name="contactname" localSheetId="40">#REF!</definedName>
    <definedName name="contactname" localSheetId="37">#REF!</definedName>
    <definedName name="contactname" localSheetId="42">#REF!</definedName>
    <definedName name="contactname" localSheetId="50">#REF!</definedName>
    <definedName name="contactname" localSheetId="5">#REF!</definedName>
    <definedName name="contactname" localSheetId="9">#REF!</definedName>
    <definedName name="contactname" localSheetId="10">#REF!</definedName>
    <definedName name="contactname" localSheetId="3">#REF!</definedName>
    <definedName name="contactname" localSheetId="58">#REF!</definedName>
    <definedName name="contactname" localSheetId="59">#REF!</definedName>
    <definedName name="contactname" localSheetId="7">#REF!</definedName>
    <definedName name="contactname" localSheetId="56">#REF!</definedName>
    <definedName name="contactname" localSheetId="57">#REF!</definedName>
    <definedName name="contactname" localSheetId="60">#REF!</definedName>
    <definedName name="contactname" localSheetId="32">#REF!</definedName>
    <definedName name="contactname" localSheetId="34">#REF!</definedName>
    <definedName name="contactname" localSheetId="22">#REF!</definedName>
    <definedName name="contactname" localSheetId="25">#REF!</definedName>
    <definedName name="contactname" localSheetId="28">#REF!</definedName>
    <definedName name="contactname" localSheetId="30">#REF!</definedName>
    <definedName name="contactname" localSheetId="68">#REF!</definedName>
    <definedName name="contactname" localSheetId="69">#REF!</definedName>
    <definedName name="contactname" localSheetId="73">#REF!</definedName>
    <definedName name="contactname">#REF!</definedName>
    <definedName name="cvolume2" localSheetId="63">#REF!</definedName>
    <definedName name="cvolume2" localSheetId="64">#REF!</definedName>
    <definedName name="cvolume2" localSheetId="65">#REF!</definedName>
    <definedName name="cvolume2" localSheetId="23">#REF!</definedName>
    <definedName name="cvolume2" localSheetId="26">#REF!</definedName>
    <definedName name="cvolume2" localSheetId="31">#REF!</definedName>
    <definedName name="cvolume2" localSheetId="29">#REF!</definedName>
    <definedName name="cvolume2" localSheetId="33">#REF!</definedName>
    <definedName name="cvolume2" localSheetId="35">#REF!</definedName>
    <definedName name="cvolume2" localSheetId="49">#REF!</definedName>
    <definedName name="cvolume2" localSheetId="61">#REF!</definedName>
    <definedName name="cvolume2" localSheetId="62">#REF!</definedName>
    <definedName name="cvolume2" localSheetId="39">#REF!</definedName>
    <definedName name="cvolume2" localSheetId="47">#REF!</definedName>
    <definedName name="cvolume2" localSheetId="41">#REF!</definedName>
    <definedName name="cvolume2" localSheetId="43">#REF!</definedName>
    <definedName name="cvolume2" localSheetId="44">#REF!</definedName>
    <definedName name="cvolume2" localSheetId="45">#REF!</definedName>
    <definedName name="cvolume2" localSheetId="81">#REF!</definedName>
    <definedName name="cvolume2" localSheetId="82">#REF!</definedName>
    <definedName name="cvolume2" localSheetId="46">#REF!</definedName>
    <definedName name="cvolume2" localSheetId="48">#REF!</definedName>
    <definedName name="cvolume2" localSheetId="36">#REF!</definedName>
    <definedName name="cvolume2" localSheetId="40">#REF!</definedName>
    <definedName name="cvolume2" localSheetId="37">#REF!</definedName>
    <definedName name="cvolume2" localSheetId="42">#REF!</definedName>
    <definedName name="cvolume2" localSheetId="50">#REF!</definedName>
    <definedName name="cvolume2" localSheetId="5">#REF!</definedName>
    <definedName name="cvolume2" localSheetId="9">#REF!</definedName>
    <definedName name="cvolume2" localSheetId="10">#REF!</definedName>
    <definedName name="cvolume2" localSheetId="3">#REF!</definedName>
    <definedName name="cvolume2" localSheetId="58">#REF!</definedName>
    <definedName name="cvolume2" localSheetId="59">#REF!</definedName>
    <definedName name="cvolume2" localSheetId="7">#REF!</definedName>
    <definedName name="cvolume2" localSheetId="56">#REF!</definedName>
    <definedName name="cvolume2" localSheetId="57">#REF!</definedName>
    <definedName name="cvolume2" localSheetId="60">#REF!</definedName>
    <definedName name="cvolume2" localSheetId="32">#REF!</definedName>
    <definedName name="cvolume2" localSheetId="34">#REF!</definedName>
    <definedName name="cvolume2" localSheetId="22">#REF!</definedName>
    <definedName name="cvolume2" localSheetId="25">#REF!</definedName>
    <definedName name="cvolume2" localSheetId="28">#REF!</definedName>
    <definedName name="cvolume2" localSheetId="30">#REF!</definedName>
    <definedName name="cvolume2" localSheetId="68">#REF!</definedName>
    <definedName name="cvolume2" localSheetId="69">#REF!</definedName>
    <definedName name="cvolume2" localSheetId="73">#REF!</definedName>
    <definedName name="cvolume2">#REF!</definedName>
    <definedName name="Description" localSheetId="63">#REF!</definedName>
    <definedName name="Description" localSheetId="64">#REF!</definedName>
    <definedName name="Description" localSheetId="65">#REF!</definedName>
    <definedName name="Description" localSheetId="23">#REF!</definedName>
    <definedName name="Description" localSheetId="26">#REF!</definedName>
    <definedName name="Description" localSheetId="31">#REF!</definedName>
    <definedName name="Description" localSheetId="29">#REF!</definedName>
    <definedName name="Description" localSheetId="33">#REF!</definedName>
    <definedName name="Description" localSheetId="35">#REF!</definedName>
    <definedName name="Description" localSheetId="49">#REF!</definedName>
    <definedName name="Description" localSheetId="61">#REF!</definedName>
    <definedName name="Description" localSheetId="62">#REF!</definedName>
    <definedName name="Description" localSheetId="39">#REF!</definedName>
    <definedName name="Description" localSheetId="47">#REF!</definedName>
    <definedName name="Description" localSheetId="41">#REF!</definedName>
    <definedName name="Description" localSheetId="43">#REF!</definedName>
    <definedName name="Description" localSheetId="44">#REF!</definedName>
    <definedName name="Description" localSheetId="45">#REF!</definedName>
    <definedName name="Description" localSheetId="81">#REF!</definedName>
    <definedName name="Description" localSheetId="82">#REF!</definedName>
    <definedName name="Description" localSheetId="46">#REF!</definedName>
    <definedName name="Description" localSheetId="48">#REF!</definedName>
    <definedName name="Description" localSheetId="36">#REF!</definedName>
    <definedName name="Description" localSheetId="40">#REF!</definedName>
    <definedName name="Description" localSheetId="37">#REF!</definedName>
    <definedName name="Description" localSheetId="42">#REF!</definedName>
    <definedName name="Description" localSheetId="50">#REF!</definedName>
    <definedName name="Description" localSheetId="5">#REF!</definedName>
    <definedName name="Description" localSheetId="9">#REF!</definedName>
    <definedName name="Description" localSheetId="10">#REF!</definedName>
    <definedName name="Description" localSheetId="3">#REF!</definedName>
    <definedName name="Description" localSheetId="58">#REF!</definedName>
    <definedName name="Description" localSheetId="59">#REF!</definedName>
    <definedName name="Description" localSheetId="7">#REF!</definedName>
    <definedName name="Description" localSheetId="56">#REF!</definedName>
    <definedName name="Description" localSheetId="57">#REF!</definedName>
    <definedName name="Description" localSheetId="60">#REF!</definedName>
    <definedName name="Description" localSheetId="32">#REF!</definedName>
    <definedName name="Description" localSheetId="34">#REF!</definedName>
    <definedName name="Description" localSheetId="22">#REF!</definedName>
    <definedName name="Description" localSheetId="25">#REF!</definedName>
    <definedName name="Description" localSheetId="28">#REF!</definedName>
    <definedName name="Description" localSheetId="30">#REF!</definedName>
    <definedName name="Description" localSheetId="68">#REF!</definedName>
    <definedName name="Description" localSheetId="69">#REF!</definedName>
    <definedName name="Description" localSheetId="73">#REF!</definedName>
    <definedName name="Description">#REF!</definedName>
    <definedName name="emailname" localSheetId="63">#REF!</definedName>
    <definedName name="emailname" localSheetId="64">#REF!</definedName>
    <definedName name="emailname" localSheetId="65">#REF!</definedName>
    <definedName name="emailname" localSheetId="23">#REF!</definedName>
    <definedName name="emailname" localSheetId="26">#REF!</definedName>
    <definedName name="emailname" localSheetId="31">#REF!</definedName>
    <definedName name="emailname" localSheetId="29">#REF!</definedName>
    <definedName name="emailname" localSheetId="33">#REF!</definedName>
    <definedName name="emailname" localSheetId="35">#REF!</definedName>
    <definedName name="emailname" localSheetId="49">#REF!</definedName>
    <definedName name="emailname" localSheetId="61">#REF!</definedName>
    <definedName name="emailname" localSheetId="62">#REF!</definedName>
    <definedName name="emailname" localSheetId="39">#REF!</definedName>
    <definedName name="emailname" localSheetId="47">#REF!</definedName>
    <definedName name="emailname" localSheetId="41">#REF!</definedName>
    <definedName name="emailname" localSheetId="43">#REF!</definedName>
    <definedName name="emailname" localSheetId="44">#REF!</definedName>
    <definedName name="emailname" localSheetId="45">#REF!</definedName>
    <definedName name="emailname" localSheetId="81">#REF!</definedName>
    <definedName name="emailname" localSheetId="82">#REF!</definedName>
    <definedName name="emailname" localSheetId="46">#REF!</definedName>
    <definedName name="emailname" localSheetId="48">#REF!</definedName>
    <definedName name="emailname" localSheetId="36">#REF!</definedName>
    <definedName name="emailname" localSheetId="40">#REF!</definedName>
    <definedName name="emailname" localSheetId="37">#REF!</definedName>
    <definedName name="emailname" localSheetId="42">#REF!</definedName>
    <definedName name="emailname" localSheetId="50">#REF!</definedName>
    <definedName name="emailname" localSheetId="5">#REF!</definedName>
    <definedName name="emailname" localSheetId="9">#REF!</definedName>
    <definedName name="emailname" localSheetId="10">#REF!</definedName>
    <definedName name="emailname" localSheetId="3">#REF!</definedName>
    <definedName name="emailname" localSheetId="58">#REF!</definedName>
    <definedName name="emailname" localSheetId="59">#REF!</definedName>
    <definedName name="emailname" localSheetId="7">#REF!</definedName>
    <definedName name="emailname" localSheetId="56">#REF!</definedName>
    <definedName name="emailname" localSheetId="57">#REF!</definedName>
    <definedName name="emailname" localSheetId="60">#REF!</definedName>
    <definedName name="emailname" localSheetId="32">#REF!</definedName>
    <definedName name="emailname" localSheetId="34">#REF!</definedName>
    <definedName name="emailname" localSheetId="22">#REF!</definedName>
    <definedName name="emailname" localSheetId="25">#REF!</definedName>
    <definedName name="emailname" localSheetId="28">#REF!</definedName>
    <definedName name="emailname" localSheetId="30">#REF!</definedName>
    <definedName name="emailname" localSheetId="68">#REF!</definedName>
    <definedName name="emailname" localSheetId="69">#REF!</definedName>
    <definedName name="emailname" localSheetId="73">#REF!</definedName>
    <definedName name="emailname">#REF!</definedName>
    <definedName name="faxnumber" localSheetId="63">#REF!</definedName>
    <definedName name="faxnumber" localSheetId="64">#REF!</definedName>
    <definedName name="faxnumber" localSheetId="65">#REF!</definedName>
    <definedName name="faxnumber" localSheetId="23">#REF!</definedName>
    <definedName name="faxnumber" localSheetId="26">#REF!</definedName>
    <definedName name="faxnumber" localSheetId="31">#REF!</definedName>
    <definedName name="faxnumber" localSheetId="29">#REF!</definedName>
    <definedName name="faxnumber" localSheetId="33">#REF!</definedName>
    <definedName name="faxnumber" localSheetId="35">#REF!</definedName>
    <definedName name="faxnumber" localSheetId="49">#REF!</definedName>
    <definedName name="faxnumber" localSheetId="61">#REF!</definedName>
    <definedName name="faxnumber" localSheetId="62">#REF!</definedName>
    <definedName name="faxnumber" localSheetId="39">#REF!</definedName>
    <definedName name="faxnumber" localSheetId="47">#REF!</definedName>
    <definedName name="faxnumber" localSheetId="41">#REF!</definedName>
    <definedName name="faxnumber" localSheetId="43">#REF!</definedName>
    <definedName name="faxnumber" localSheetId="44">#REF!</definedName>
    <definedName name="faxnumber" localSheetId="45">#REF!</definedName>
    <definedName name="faxnumber" localSheetId="81">#REF!</definedName>
    <definedName name="faxnumber" localSheetId="82">#REF!</definedName>
    <definedName name="faxnumber" localSheetId="46">#REF!</definedName>
    <definedName name="faxnumber" localSheetId="48">#REF!</definedName>
    <definedName name="faxnumber" localSheetId="36">#REF!</definedName>
    <definedName name="faxnumber" localSheetId="40">#REF!</definedName>
    <definedName name="faxnumber" localSheetId="37">#REF!</definedName>
    <definedName name="faxnumber" localSheetId="42">#REF!</definedName>
    <definedName name="faxnumber" localSheetId="50">#REF!</definedName>
    <definedName name="faxnumber" localSheetId="5">#REF!</definedName>
    <definedName name="faxnumber" localSheetId="9">#REF!</definedName>
    <definedName name="faxnumber" localSheetId="10">#REF!</definedName>
    <definedName name="faxnumber" localSheetId="3">#REF!</definedName>
    <definedName name="faxnumber" localSheetId="58">#REF!</definedName>
    <definedName name="faxnumber" localSheetId="59">#REF!</definedName>
    <definedName name="faxnumber" localSheetId="7">#REF!</definedName>
    <definedName name="faxnumber" localSheetId="56">#REF!</definedName>
    <definedName name="faxnumber" localSheetId="57">#REF!</definedName>
    <definedName name="faxnumber" localSheetId="60">#REF!</definedName>
    <definedName name="faxnumber" localSheetId="32">#REF!</definedName>
    <definedName name="faxnumber" localSheetId="34">#REF!</definedName>
    <definedName name="faxnumber" localSheetId="22">#REF!</definedName>
    <definedName name="faxnumber" localSheetId="25">#REF!</definedName>
    <definedName name="faxnumber" localSheetId="28">#REF!</definedName>
    <definedName name="faxnumber" localSheetId="30">#REF!</definedName>
    <definedName name="faxnumber" localSheetId="68">#REF!</definedName>
    <definedName name="faxnumber" localSheetId="69">#REF!</definedName>
    <definedName name="faxnumber" localSheetId="73">#REF!</definedName>
    <definedName name="faxnumber">#REF!</definedName>
    <definedName name="k" localSheetId="63">#REF!</definedName>
    <definedName name="k" localSheetId="65">#REF!</definedName>
    <definedName name="k" localSheetId="23">#REF!</definedName>
    <definedName name="k" localSheetId="26">#REF!</definedName>
    <definedName name="k" localSheetId="31">#REF!</definedName>
    <definedName name="k" localSheetId="29">#REF!</definedName>
    <definedName name="k" localSheetId="33">#REF!</definedName>
    <definedName name="k" localSheetId="35">#REF!</definedName>
    <definedName name="k" localSheetId="49">#REF!</definedName>
    <definedName name="k" localSheetId="61">#REF!</definedName>
    <definedName name="k" localSheetId="62">#REF!</definedName>
    <definedName name="k" localSheetId="39">#REF!</definedName>
    <definedName name="k" localSheetId="47">#REF!</definedName>
    <definedName name="k" localSheetId="41">#REF!</definedName>
    <definedName name="k" localSheetId="43">#REF!</definedName>
    <definedName name="k" localSheetId="44">#REF!</definedName>
    <definedName name="k" localSheetId="45">#REF!</definedName>
    <definedName name="k" localSheetId="81">#REF!</definedName>
    <definedName name="k" localSheetId="82">#REF!</definedName>
    <definedName name="k" localSheetId="46">#REF!</definedName>
    <definedName name="k" localSheetId="48">#REF!</definedName>
    <definedName name="k" localSheetId="36">#REF!</definedName>
    <definedName name="k" localSheetId="40">#REF!</definedName>
    <definedName name="k" localSheetId="37">#REF!</definedName>
    <definedName name="k" localSheetId="42">#REF!</definedName>
    <definedName name="k" localSheetId="50">#REF!</definedName>
    <definedName name="k" localSheetId="9">#REF!</definedName>
    <definedName name="k" localSheetId="58">#REF!</definedName>
    <definedName name="k" localSheetId="59">#REF!</definedName>
    <definedName name="k" localSheetId="7">#REF!</definedName>
    <definedName name="k" localSheetId="57">#REF!</definedName>
    <definedName name="k" localSheetId="60">#REF!</definedName>
    <definedName name="k" localSheetId="32">#REF!</definedName>
    <definedName name="k" localSheetId="34">#REF!</definedName>
    <definedName name="k" localSheetId="22">#REF!</definedName>
    <definedName name="k" localSheetId="25">#REF!</definedName>
    <definedName name="k" localSheetId="28">#REF!</definedName>
    <definedName name="k" localSheetId="30">#REF!</definedName>
    <definedName name="k" localSheetId="73">#REF!</definedName>
    <definedName name="k">#REF!</definedName>
    <definedName name="modelnum" localSheetId="63">#REF!</definedName>
    <definedName name="modelnum" localSheetId="64">#REF!</definedName>
    <definedName name="modelnum" localSheetId="65">#REF!</definedName>
    <definedName name="modelnum" localSheetId="23">#REF!</definedName>
    <definedName name="modelnum" localSheetId="26">#REF!</definedName>
    <definedName name="modelnum" localSheetId="31">#REF!</definedName>
    <definedName name="modelnum" localSheetId="29">#REF!</definedName>
    <definedName name="modelnum" localSheetId="33">#REF!</definedName>
    <definedName name="modelnum" localSheetId="35">#REF!</definedName>
    <definedName name="modelnum" localSheetId="49">#REF!</definedName>
    <definedName name="modelnum" localSheetId="61">#REF!</definedName>
    <definedName name="modelnum" localSheetId="62">#REF!</definedName>
    <definedName name="modelnum" localSheetId="39">#REF!</definedName>
    <definedName name="modelnum" localSheetId="47">#REF!</definedName>
    <definedName name="modelnum" localSheetId="41">#REF!</definedName>
    <definedName name="modelnum" localSheetId="43">#REF!</definedName>
    <definedName name="modelnum" localSheetId="44">#REF!</definedName>
    <definedName name="modelnum" localSheetId="45">#REF!</definedName>
    <definedName name="modelnum" localSheetId="81">#REF!</definedName>
    <definedName name="modelnum" localSheetId="82">#REF!</definedName>
    <definedName name="modelnum" localSheetId="46">#REF!</definedName>
    <definedName name="modelnum" localSheetId="48">#REF!</definedName>
    <definedName name="modelnum" localSheetId="36">#REF!</definedName>
    <definedName name="modelnum" localSheetId="40">#REF!</definedName>
    <definedName name="modelnum" localSheetId="37">#REF!</definedName>
    <definedName name="modelnum" localSheetId="42">#REF!</definedName>
    <definedName name="modelnum" localSheetId="50">#REF!</definedName>
    <definedName name="modelnum" localSheetId="5">#REF!</definedName>
    <definedName name="modelnum" localSheetId="9">#REF!</definedName>
    <definedName name="modelnum" localSheetId="10">#REF!</definedName>
    <definedName name="modelnum" localSheetId="3">#REF!</definedName>
    <definedName name="modelnum" localSheetId="58">#REF!</definedName>
    <definedName name="modelnum" localSheetId="59">#REF!</definedName>
    <definedName name="modelnum" localSheetId="7">#REF!</definedName>
    <definedName name="modelnum" localSheetId="56">#REF!</definedName>
    <definedName name="modelnum" localSheetId="57">#REF!</definedName>
    <definedName name="modelnum" localSheetId="60">#REF!</definedName>
    <definedName name="modelnum" localSheetId="32">#REF!</definedName>
    <definedName name="modelnum" localSheetId="34">#REF!</definedName>
    <definedName name="modelnum" localSheetId="22">#REF!</definedName>
    <definedName name="modelnum" localSheetId="25">#REF!</definedName>
    <definedName name="modelnum" localSheetId="28">#REF!</definedName>
    <definedName name="modelnum" localSheetId="30">#REF!</definedName>
    <definedName name="modelnum" localSheetId="68">#REF!</definedName>
    <definedName name="modelnum" localSheetId="69">#REF!</definedName>
    <definedName name="modelnum" localSheetId="73">#REF!</definedName>
    <definedName name="modelnum">#REF!</definedName>
    <definedName name="overage" localSheetId="63">#REF!</definedName>
    <definedName name="overage" localSheetId="64">#REF!</definedName>
    <definedName name="overage" localSheetId="65">#REF!</definedName>
    <definedName name="overage" localSheetId="23">#REF!</definedName>
    <definedName name="overage" localSheetId="26">#REF!</definedName>
    <definedName name="overage" localSheetId="31">#REF!</definedName>
    <definedName name="overage" localSheetId="29">#REF!</definedName>
    <definedName name="overage" localSheetId="33">#REF!</definedName>
    <definedName name="overage" localSheetId="35">#REF!</definedName>
    <definedName name="overage" localSheetId="49">#REF!</definedName>
    <definedName name="overage" localSheetId="61">#REF!</definedName>
    <definedName name="overage" localSheetId="62">#REF!</definedName>
    <definedName name="overage" localSheetId="39">#REF!</definedName>
    <definedName name="overage" localSheetId="47">#REF!</definedName>
    <definedName name="overage" localSheetId="41">#REF!</definedName>
    <definedName name="overage" localSheetId="43">#REF!</definedName>
    <definedName name="overage" localSheetId="44">#REF!</definedName>
    <definedName name="overage" localSheetId="45">#REF!</definedName>
    <definedName name="overage" localSheetId="81">#REF!</definedName>
    <definedName name="overage" localSheetId="82">#REF!</definedName>
    <definedName name="overage" localSheetId="46">#REF!</definedName>
    <definedName name="overage" localSheetId="48">#REF!</definedName>
    <definedName name="overage" localSheetId="36">#REF!</definedName>
    <definedName name="overage" localSheetId="40">#REF!</definedName>
    <definedName name="overage" localSheetId="37">#REF!</definedName>
    <definedName name="overage" localSheetId="42">#REF!</definedName>
    <definedName name="overage" localSheetId="50">#REF!</definedName>
    <definedName name="overage" localSheetId="5">#REF!</definedName>
    <definedName name="overage" localSheetId="9">#REF!</definedName>
    <definedName name="overage" localSheetId="10">#REF!</definedName>
    <definedName name="overage" localSheetId="3">#REF!</definedName>
    <definedName name="overage" localSheetId="58">#REF!</definedName>
    <definedName name="overage" localSheetId="59">#REF!</definedName>
    <definedName name="overage" localSheetId="7">#REF!</definedName>
    <definedName name="overage" localSheetId="56">#REF!</definedName>
    <definedName name="overage" localSheetId="57">#REF!</definedName>
    <definedName name="overage" localSheetId="60">#REF!</definedName>
    <definedName name="overage" localSheetId="32">#REF!</definedName>
    <definedName name="overage" localSheetId="34">#REF!</definedName>
    <definedName name="overage" localSheetId="22">#REF!</definedName>
    <definedName name="overage" localSheetId="25">#REF!</definedName>
    <definedName name="overage" localSheetId="28">#REF!</definedName>
    <definedName name="overage" localSheetId="30">#REF!</definedName>
    <definedName name="overage" localSheetId="68">#REF!</definedName>
    <definedName name="overage" localSheetId="69">#REF!</definedName>
    <definedName name="overage" localSheetId="73">#REF!</definedName>
    <definedName name="overage">#REF!</definedName>
    <definedName name="postalcode" localSheetId="63">#REF!</definedName>
    <definedName name="postalcode" localSheetId="64">#REF!</definedName>
    <definedName name="postalcode" localSheetId="65">#REF!</definedName>
    <definedName name="postalcode" localSheetId="23">#REF!</definedName>
    <definedName name="postalcode" localSheetId="26">#REF!</definedName>
    <definedName name="postalcode" localSheetId="31">#REF!</definedName>
    <definedName name="postalcode" localSheetId="29">#REF!</definedName>
    <definedName name="postalcode" localSheetId="33">#REF!</definedName>
    <definedName name="postalcode" localSheetId="35">#REF!</definedName>
    <definedName name="postalcode" localSheetId="49">#REF!</definedName>
    <definedName name="postalcode" localSheetId="61">#REF!</definedName>
    <definedName name="postalcode" localSheetId="62">#REF!</definedName>
    <definedName name="postalcode" localSheetId="39">#REF!</definedName>
    <definedName name="postalcode" localSheetId="47">#REF!</definedName>
    <definedName name="postalcode" localSheetId="41">#REF!</definedName>
    <definedName name="postalcode" localSheetId="43">#REF!</definedName>
    <definedName name="postalcode" localSheetId="44">#REF!</definedName>
    <definedName name="postalcode" localSheetId="45">#REF!</definedName>
    <definedName name="postalcode" localSheetId="81">#REF!</definedName>
    <definedName name="postalcode" localSheetId="82">#REF!</definedName>
    <definedName name="postalcode" localSheetId="46">#REF!</definedName>
    <definedName name="postalcode" localSheetId="48">#REF!</definedName>
    <definedName name="postalcode" localSheetId="36">#REF!</definedName>
    <definedName name="postalcode" localSheetId="40">#REF!</definedName>
    <definedName name="postalcode" localSheetId="37">#REF!</definedName>
    <definedName name="postalcode" localSheetId="42">#REF!</definedName>
    <definedName name="postalcode" localSheetId="50">#REF!</definedName>
    <definedName name="postalcode" localSheetId="5">#REF!</definedName>
    <definedName name="postalcode" localSheetId="9">#REF!</definedName>
    <definedName name="postalcode" localSheetId="10">#REF!</definedName>
    <definedName name="postalcode" localSheetId="3">#REF!</definedName>
    <definedName name="postalcode" localSheetId="58">#REF!</definedName>
    <definedName name="postalcode" localSheetId="59">#REF!</definedName>
    <definedName name="postalcode" localSheetId="7">#REF!</definedName>
    <definedName name="postalcode" localSheetId="56">#REF!</definedName>
    <definedName name="postalcode" localSheetId="57">#REF!</definedName>
    <definedName name="postalcode" localSheetId="60">#REF!</definedName>
    <definedName name="postalcode" localSheetId="32">#REF!</definedName>
    <definedName name="postalcode" localSheetId="34">#REF!</definedName>
    <definedName name="postalcode" localSheetId="22">#REF!</definedName>
    <definedName name="postalcode" localSheetId="25">#REF!</definedName>
    <definedName name="postalcode" localSheetId="28">#REF!</definedName>
    <definedName name="postalcode" localSheetId="30">#REF!</definedName>
    <definedName name="postalcode" localSheetId="68">#REF!</definedName>
    <definedName name="postalcode" localSheetId="69">#REF!</definedName>
    <definedName name="postalcode" localSheetId="73">#REF!</definedName>
    <definedName name="postalcode">#REF!</definedName>
    <definedName name="preparedby" localSheetId="63">#REF!</definedName>
    <definedName name="preparedby" localSheetId="64">#REF!</definedName>
    <definedName name="preparedby" localSheetId="65">#REF!</definedName>
    <definedName name="preparedby" localSheetId="23">#REF!</definedName>
    <definedName name="preparedby" localSheetId="26">#REF!</definedName>
    <definedName name="preparedby" localSheetId="31">#REF!</definedName>
    <definedName name="preparedby" localSheetId="29">#REF!</definedName>
    <definedName name="preparedby" localSheetId="33">#REF!</definedName>
    <definedName name="preparedby" localSheetId="35">#REF!</definedName>
    <definedName name="preparedby" localSheetId="49">#REF!</definedName>
    <definedName name="preparedby" localSheetId="61">#REF!</definedName>
    <definedName name="preparedby" localSheetId="62">#REF!</definedName>
    <definedName name="preparedby" localSheetId="39">#REF!</definedName>
    <definedName name="preparedby" localSheetId="47">#REF!</definedName>
    <definedName name="preparedby" localSheetId="41">#REF!</definedName>
    <definedName name="preparedby" localSheetId="43">#REF!</definedName>
    <definedName name="preparedby" localSheetId="44">#REF!</definedName>
    <definedName name="preparedby" localSheetId="45">#REF!</definedName>
    <definedName name="preparedby" localSheetId="81">#REF!</definedName>
    <definedName name="preparedby" localSheetId="82">#REF!</definedName>
    <definedName name="preparedby" localSheetId="46">#REF!</definedName>
    <definedName name="preparedby" localSheetId="48">#REF!</definedName>
    <definedName name="preparedby" localSheetId="36">#REF!</definedName>
    <definedName name="preparedby" localSheetId="40">#REF!</definedName>
    <definedName name="preparedby" localSheetId="37">#REF!</definedName>
    <definedName name="preparedby" localSheetId="42">#REF!</definedName>
    <definedName name="preparedby" localSheetId="50">#REF!</definedName>
    <definedName name="preparedby" localSheetId="5">#REF!</definedName>
    <definedName name="preparedby" localSheetId="9">#REF!</definedName>
    <definedName name="preparedby" localSheetId="10">#REF!</definedName>
    <definedName name="preparedby" localSheetId="3">#REF!</definedName>
    <definedName name="preparedby" localSheetId="58">#REF!</definedName>
    <definedName name="preparedby" localSheetId="59">#REF!</definedName>
    <definedName name="preparedby" localSheetId="7">#REF!</definedName>
    <definedName name="preparedby" localSheetId="56">#REF!</definedName>
    <definedName name="preparedby" localSheetId="57">#REF!</definedName>
    <definedName name="preparedby" localSheetId="60">#REF!</definedName>
    <definedName name="preparedby" localSheetId="32">#REF!</definedName>
    <definedName name="preparedby" localSheetId="34">#REF!</definedName>
    <definedName name="preparedby" localSheetId="22">#REF!</definedName>
    <definedName name="preparedby" localSheetId="25">#REF!</definedName>
    <definedName name="preparedby" localSheetId="28">#REF!</definedName>
    <definedName name="preparedby" localSheetId="30">#REF!</definedName>
    <definedName name="preparedby" localSheetId="68">#REF!</definedName>
    <definedName name="preparedby" localSheetId="69">#REF!</definedName>
    <definedName name="preparedby" localSheetId="73">#REF!</definedName>
    <definedName name="preparedby">#REF!</definedName>
    <definedName name="_xlnm.Print_Area" localSheetId="63">'HP E58650z Segment #55a-b'!$A$1:$O$63</definedName>
    <definedName name="_xlnm.Print_Area" localSheetId="64">'HP E58650z Segment #56'!$A$1:$O$69</definedName>
    <definedName name="_xlnm.Print_Area" localSheetId="65">'HP E77650z Segment #57'!$A$1:$O$79</definedName>
    <definedName name="_xlnm.Print_Area" localSheetId="23">'HP M102w Segment #24'!$A$1:$K$34</definedName>
    <definedName name="_xlnm.Print_Area" localSheetId="26">'HP M203dw Segment #25'!$A$1:$K$37</definedName>
    <definedName name="_xlnm.Print_Area" localSheetId="31">'HP M254dw Segment #27'!$A$1:$J$39</definedName>
    <definedName name="_xlnm.Print_Area" localSheetId="29">'HP M404n Segment #26 '!$A$1:$K$34</definedName>
    <definedName name="_xlnm.Print_Area" localSheetId="33">'HP M454dn Segment #28'!$A$1:$J$36</definedName>
    <definedName name="_xlnm.Print_Area" localSheetId="35">'HP M555dn Segment #29'!$A$1:$J$55</definedName>
    <definedName name="_xlnm.Print_Area" localSheetId="49">'HP OfficeJet 200 Segment #49'!$A$1:$N$33</definedName>
    <definedName name="_xlnm.Print_Area" localSheetId="61">'HP P57750dw Segment #54'!$A$1:$O$49</definedName>
    <definedName name="_xlnm.Print_Area" localSheetId="62">'HP P57750dw Segment #55'!$A$1:$O$46</definedName>
    <definedName name="_xlnm.Print_Area" localSheetId="39">'HP PWXL 3900 (WF) Segment #40'!$A$1:$Q$38</definedName>
    <definedName name="_xlnm.Print_Area" localSheetId="47">'HP PWXL 4200 (WF) Segment # 47'!$A$1:$Q$33</definedName>
    <definedName name="_xlnm.Print_Area" localSheetId="41">'HP PWXL 4200 (WF) Segment #41'!$A$1:$Q$33</definedName>
    <definedName name="_xlnm.Print_Area" localSheetId="43">'HP PWXL 4600 (WF) Segment # 42'!$A$1:$Q$33</definedName>
    <definedName name="_xlnm.Print_Area" localSheetId="44">'HP PWXL 5100 (WF) Segment # 43'!$A$1:$Q$37</definedName>
    <definedName name="_xlnm.Print_Area" localSheetId="45">'HP SDPRO T1700(WF) Segment # 45'!$A$1:$Q$20</definedName>
    <definedName name="_xlnm.Print_Area" localSheetId="81">'HP T1600 (WF) Segment #48'!$A$1:$Q$16</definedName>
    <definedName name="_xlnm.Print_Area" localSheetId="82">'HP T1600dr (WF) Segment #48'!$A$1:$Q$16</definedName>
    <definedName name="_xlnm.Print_Area" localSheetId="46">'HP T2600dr (WF) Segment  46'!$A$1:$Q$22</definedName>
    <definedName name="_xlnm.Print_Area" localSheetId="38">'KIP 71 Series (WF) Segment #40'!$A$1:$Q$26</definedName>
    <definedName name="_xlnm.Print_Area" localSheetId="48">'KIP 7171K4 (WF) Segment #48'!$A$1:$Q$28</definedName>
    <definedName name="_xlnm.Print_Area" localSheetId="36">'KIP 740 Series Segment #30'!$A$1:$N$28</definedName>
    <definedName name="_xlnm.Print_Area" localSheetId="40">'KIP 7582 (WF) Segment #41'!$A$1:$Q$24</definedName>
    <definedName name="_xlnm.Print_Area" localSheetId="37">'KIP 760 Series Segment #31'!$A$1:$N$27</definedName>
    <definedName name="_xlnm.Print_Area" localSheetId="42">'KIP 7984 (WF) Segment #42'!$A$1:$Q$23</definedName>
    <definedName name="_xlnm.Print_Area" localSheetId="50">'Konica 2100-PP Segment #50 '!$A$1:$Q$93</definedName>
    <definedName name="_xlnm.Print_Area" localSheetId="5">'Konica 301i-Segment #10 '!$A$1:$O$97</definedName>
    <definedName name="_xlnm.Print_Area" localSheetId="9">'Konica 361i-Segment #12'!$A$1:$O$97</definedName>
    <definedName name="_xlnm.Print_Area" localSheetId="2">'Konica 4051i-Segment #8'!$A$1:$O$73</definedName>
    <definedName name="_xlnm.Print_Area" localSheetId="21">'Konica 4201i Segment #24'!$A$1:$K$39</definedName>
    <definedName name="_xlnm.Print_Area" localSheetId="24">'Konica 4201i Segment #25'!$A$1:$K$41</definedName>
    <definedName name="_xlnm.Print_Area" localSheetId="0">'Konica 4221i Segment #7'!$A$1:$O$48</definedName>
    <definedName name="_xlnm.Print_Area" localSheetId="10">'Konica 451i-Segment #12'!$A$1:$O$99</definedName>
    <definedName name="_xlnm.Print_Area" localSheetId="27">'Konica 4701i Segment #26'!$A$1:$K$57</definedName>
    <definedName name="_xlnm.Print_Area" localSheetId="3">'Konica 4751i-Segment #9'!$A$1:$O$72</definedName>
    <definedName name="_xlnm.Print_Area" localSheetId="1">'Konica 5021i Segment #7'!$A$1:$O$48</definedName>
    <definedName name="_xlnm.Print_Area" localSheetId="12">'Konica 551i-Segment #14'!$A$1:$O$99</definedName>
    <definedName name="_xlnm.Print_Area" localSheetId="17">'Konica 651i-Segment #16'!$A$1:$O$101</definedName>
    <definedName name="_xlnm.Print_Area" localSheetId="51">'Konica 7120-PP Segment #50'!$A$1:$O$137</definedName>
    <definedName name="_xlnm.Print_Area" localSheetId="52">'Konica 7136-PP Segment #50'!$A$1:$Q$137</definedName>
    <definedName name="_xlnm.Print_Area" localSheetId="18">'Konica 751i-Segment #17'!$A$1:$O$93</definedName>
    <definedName name="_xlnm.Print_Area" localSheetId="19">'Konica 850i-Segment #17'!$A$1:$O$92</definedName>
    <definedName name="_xlnm.Print_Area" localSheetId="20">'Konica 950i-Segment #17'!$A$1:$O$92</definedName>
    <definedName name="_xlnm.Print_Area" localSheetId="58">'Konica C12010-PP Segment #51'!$A$1:$Q$160</definedName>
    <definedName name="_xlnm.Print_Area" localSheetId="59">'Konica C14010-PP Segment #51'!$A$1:$Q$160</definedName>
    <definedName name="_xlnm.Print_Area" localSheetId="6">'Konica C251i-Segment #11'!$A$1:$O$102</definedName>
    <definedName name="_xlnm.Print_Area" localSheetId="8">'Konica C301i-Segment #11'!$A$1:$O$102</definedName>
    <definedName name="_xlnm.Print_Area" localSheetId="7">'Konica C3320i-Segment #11'!$A$1:$O$75</definedName>
    <definedName name="_xlnm.Print_Area" localSheetId="11">'Konica C361i-Segment #13'!$A$1:$O$98</definedName>
    <definedName name="_xlnm.Print_Area" localSheetId="53">'Konica C4065-PP Segment #51'!$A$1:$Q$76</definedName>
    <definedName name="_xlnm.Print_Area" localSheetId="54">'Konica C4070-PP Segment #51'!$A$1:$Q$164</definedName>
    <definedName name="_xlnm.Print_Area" localSheetId="55">'Konica C4080-PP Segment #51'!$A$1:$Q$164</definedName>
    <definedName name="_xlnm.Print_Area" localSheetId="57">'Konica C7100e-PP Segment #51'!$A$1:$Q$161</definedName>
    <definedName name="_xlnm.Print_Area" localSheetId="60">'Konica Plastics 3D Segment #52'!$A$1:$O$34</definedName>
    <definedName name="_xlnm.Print_Area" localSheetId="32">'Lexmark C4150 Segment #28'!$A$1:$J$46</definedName>
    <definedName name="_xlnm.Print_Area" localSheetId="34">'Lexmark C6160 Segment #29'!$A$1:$J$48</definedName>
    <definedName name="_xlnm.Print_Area" localSheetId="22">'Lexmark m1246 Segment #24'!$A$1:$K$53</definedName>
    <definedName name="_xlnm.Print_Area" localSheetId="25">'Lexmark m3250 Segment #25'!$A$1:$K$58</definedName>
    <definedName name="_xlnm.Print_Area" localSheetId="28">'Lexmark m5255 Segment #26'!$A$1:$K$65</definedName>
    <definedName name="_xlnm.Print_Area" localSheetId="30">'Lexmark xc2235 Segment #27'!$A$1:$J$57</definedName>
    <definedName name="_xlnm.Print_Area" localSheetId="79">'Professional Services'!#REF!</definedName>
    <definedName name="_xlnm.Print_Area" localSheetId="73">'WEB CRD'!#REF!</definedName>
    <definedName name="productnum" localSheetId="63">#REF!</definedName>
    <definedName name="productnum" localSheetId="64">#REF!</definedName>
    <definedName name="productnum" localSheetId="65">#REF!</definedName>
    <definedName name="productnum" localSheetId="23">#REF!</definedName>
    <definedName name="productnum" localSheetId="26">#REF!</definedName>
    <definedName name="productnum" localSheetId="31">#REF!</definedName>
    <definedName name="productnum" localSheetId="29">#REF!</definedName>
    <definedName name="productnum" localSheetId="33">#REF!</definedName>
    <definedName name="productnum" localSheetId="35">#REF!</definedName>
    <definedName name="productnum" localSheetId="49">#REF!</definedName>
    <definedName name="productnum" localSheetId="61">#REF!</definedName>
    <definedName name="productnum" localSheetId="62">#REF!</definedName>
    <definedName name="productnum" localSheetId="39">#REF!</definedName>
    <definedName name="productnum" localSheetId="47">#REF!</definedName>
    <definedName name="productnum" localSheetId="41">#REF!</definedName>
    <definedName name="productnum" localSheetId="43">#REF!</definedName>
    <definedName name="productnum" localSheetId="44">#REF!</definedName>
    <definedName name="productnum" localSheetId="45">#REF!</definedName>
    <definedName name="productnum" localSheetId="81">#REF!</definedName>
    <definedName name="productnum" localSheetId="82">#REF!</definedName>
    <definedName name="productnum" localSheetId="46">#REF!</definedName>
    <definedName name="productnum" localSheetId="48">#REF!</definedName>
    <definedName name="productnum" localSheetId="36">#REF!</definedName>
    <definedName name="productnum" localSheetId="40">#REF!</definedName>
    <definedName name="productnum" localSheetId="37">#REF!</definedName>
    <definedName name="productnum" localSheetId="42">#REF!</definedName>
    <definedName name="productnum" localSheetId="50">#REF!</definedName>
    <definedName name="productnum" localSheetId="5">#REF!</definedName>
    <definedName name="productnum" localSheetId="9">#REF!</definedName>
    <definedName name="productnum" localSheetId="10">#REF!</definedName>
    <definedName name="productnum" localSheetId="3">#REF!</definedName>
    <definedName name="productnum" localSheetId="58">#REF!</definedName>
    <definedName name="productnum" localSheetId="59">#REF!</definedName>
    <definedName name="productnum" localSheetId="7">#REF!</definedName>
    <definedName name="productnum" localSheetId="56">#REF!</definedName>
    <definedName name="productnum" localSheetId="57">#REF!</definedName>
    <definedName name="productnum" localSheetId="60">#REF!</definedName>
    <definedName name="productnum" localSheetId="32">#REF!</definedName>
    <definedName name="productnum" localSheetId="34">#REF!</definedName>
    <definedName name="productnum" localSheetId="22">#REF!</definedName>
    <definedName name="productnum" localSheetId="25">#REF!</definedName>
    <definedName name="productnum" localSheetId="28">#REF!</definedName>
    <definedName name="productnum" localSheetId="30">#REF!</definedName>
    <definedName name="productnum" localSheetId="68">#REF!</definedName>
    <definedName name="productnum" localSheetId="69">#REF!</definedName>
    <definedName name="productnum" localSheetId="73">#REF!</definedName>
    <definedName name="productnum">#REF!</definedName>
    <definedName name="quantity" localSheetId="63">#REF!</definedName>
    <definedName name="quantity" localSheetId="64">#REF!</definedName>
    <definedName name="quantity" localSheetId="65">#REF!</definedName>
    <definedName name="quantity" localSheetId="23">#REF!</definedName>
    <definedName name="quantity" localSheetId="26">#REF!</definedName>
    <definedName name="quantity" localSheetId="31">#REF!</definedName>
    <definedName name="quantity" localSheetId="29">#REF!</definedName>
    <definedName name="quantity" localSheetId="33">#REF!</definedName>
    <definedName name="quantity" localSheetId="35">#REF!</definedName>
    <definedName name="quantity" localSheetId="49">#REF!</definedName>
    <definedName name="quantity" localSheetId="61">#REF!</definedName>
    <definedName name="quantity" localSheetId="62">#REF!</definedName>
    <definedName name="quantity" localSheetId="39">#REF!</definedName>
    <definedName name="quantity" localSheetId="47">#REF!</definedName>
    <definedName name="quantity" localSheetId="41">#REF!</definedName>
    <definedName name="quantity" localSheetId="43">#REF!</definedName>
    <definedName name="quantity" localSheetId="44">#REF!</definedName>
    <definedName name="quantity" localSheetId="45">#REF!</definedName>
    <definedName name="quantity" localSheetId="81">#REF!</definedName>
    <definedName name="quantity" localSheetId="82">#REF!</definedName>
    <definedName name="quantity" localSheetId="46">#REF!</definedName>
    <definedName name="quantity" localSheetId="48">#REF!</definedName>
    <definedName name="quantity" localSheetId="36">#REF!</definedName>
    <definedName name="quantity" localSheetId="40">#REF!</definedName>
    <definedName name="quantity" localSheetId="37">#REF!</definedName>
    <definedName name="quantity" localSheetId="42">#REF!</definedName>
    <definedName name="quantity" localSheetId="50">#REF!</definedName>
    <definedName name="quantity" localSheetId="5">#REF!</definedName>
    <definedName name="quantity" localSheetId="9">#REF!</definedName>
    <definedName name="quantity" localSheetId="10">#REF!</definedName>
    <definedName name="quantity" localSheetId="3">#REF!</definedName>
    <definedName name="quantity" localSheetId="58">#REF!</definedName>
    <definedName name="quantity" localSheetId="59">#REF!</definedName>
    <definedName name="quantity" localSheetId="7">#REF!</definedName>
    <definedName name="quantity" localSheetId="56">#REF!</definedName>
    <definedName name="quantity" localSheetId="57">#REF!</definedName>
    <definedName name="quantity" localSheetId="60">#REF!</definedName>
    <definedName name="quantity" localSheetId="32">#REF!</definedName>
    <definedName name="quantity" localSheetId="34">#REF!</definedName>
    <definedName name="quantity" localSheetId="22">#REF!</definedName>
    <definedName name="quantity" localSheetId="25">#REF!</definedName>
    <definedName name="quantity" localSheetId="28">#REF!</definedName>
    <definedName name="quantity" localSheetId="30">#REF!</definedName>
    <definedName name="quantity" localSheetId="68">#REF!</definedName>
    <definedName name="quantity" localSheetId="69">#REF!</definedName>
    <definedName name="quantity" localSheetId="73">#REF!</definedName>
    <definedName name="quantity">#REF!</definedName>
    <definedName name="Serial_Number" localSheetId="63">#REF!</definedName>
    <definedName name="Serial_Number" localSheetId="64">#REF!</definedName>
    <definedName name="Serial_Number" localSheetId="65">#REF!</definedName>
    <definedName name="Serial_Number" localSheetId="23">#REF!</definedName>
    <definedName name="Serial_Number" localSheetId="26">#REF!</definedName>
    <definedName name="Serial_Number" localSheetId="31">#REF!</definedName>
    <definedName name="Serial_Number" localSheetId="29">#REF!</definedName>
    <definedName name="Serial_Number" localSheetId="33">#REF!</definedName>
    <definedName name="Serial_Number" localSheetId="35">#REF!</definedName>
    <definedName name="Serial_Number" localSheetId="49">#REF!</definedName>
    <definedName name="Serial_Number" localSheetId="61">#REF!</definedName>
    <definedName name="Serial_Number" localSheetId="62">#REF!</definedName>
    <definedName name="Serial_Number" localSheetId="39">#REF!</definedName>
    <definedName name="Serial_Number" localSheetId="47">#REF!</definedName>
    <definedName name="Serial_Number" localSheetId="41">#REF!</definedName>
    <definedName name="Serial_Number" localSheetId="43">#REF!</definedName>
    <definedName name="Serial_Number" localSheetId="44">#REF!</definedName>
    <definedName name="Serial_Number" localSheetId="45">#REF!</definedName>
    <definedName name="Serial_Number" localSheetId="81">#REF!</definedName>
    <definedName name="Serial_Number" localSheetId="82">#REF!</definedName>
    <definedName name="Serial_Number" localSheetId="46">#REF!</definedName>
    <definedName name="Serial_Number" localSheetId="48">#REF!</definedName>
    <definedName name="Serial_Number" localSheetId="36">#REF!</definedName>
    <definedName name="Serial_Number" localSheetId="40">#REF!</definedName>
    <definedName name="Serial_Number" localSheetId="37">#REF!</definedName>
    <definedName name="Serial_Number" localSheetId="42">#REF!</definedName>
    <definedName name="Serial_Number" localSheetId="50">#REF!</definedName>
    <definedName name="Serial_Number" localSheetId="5">#REF!</definedName>
    <definedName name="Serial_Number" localSheetId="9">#REF!</definedName>
    <definedName name="Serial_Number" localSheetId="10">#REF!</definedName>
    <definedName name="Serial_Number" localSheetId="3">#REF!</definedName>
    <definedName name="Serial_Number" localSheetId="58">#REF!</definedName>
    <definedName name="Serial_Number" localSheetId="59">#REF!</definedName>
    <definedName name="Serial_Number" localSheetId="7">#REF!</definedName>
    <definedName name="Serial_Number" localSheetId="56">#REF!</definedName>
    <definedName name="Serial_Number" localSheetId="57">#REF!</definedName>
    <definedName name="Serial_Number" localSheetId="60">#REF!</definedName>
    <definedName name="Serial_Number" localSheetId="32">#REF!</definedName>
    <definedName name="Serial_Number" localSheetId="34">#REF!</definedName>
    <definedName name="Serial_Number" localSheetId="22">#REF!</definedName>
    <definedName name="Serial_Number" localSheetId="25">#REF!</definedName>
    <definedName name="Serial_Number" localSheetId="28">#REF!</definedName>
    <definedName name="Serial_Number" localSheetId="30">#REF!</definedName>
    <definedName name="Serial_Number" localSheetId="68">#REF!</definedName>
    <definedName name="Serial_Number" localSheetId="69">#REF!</definedName>
    <definedName name="Serial_Number" localSheetId="73">#REF!</definedName>
    <definedName name="Serial_Number">#REF!</definedName>
    <definedName name="sku" localSheetId="63">#REF!</definedName>
    <definedName name="sku" localSheetId="64">#REF!</definedName>
    <definedName name="sku" localSheetId="65">#REF!</definedName>
    <definedName name="sku" localSheetId="23">#REF!</definedName>
    <definedName name="sku" localSheetId="26">#REF!</definedName>
    <definedName name="sku" localSheetId="31">#REF!</definedName>
    <definedName name="sku" localSheetId="29">#REF!</definedName>
    <definedName name="sku" localSheetId="33">#REF!</definedName>
    <definedName name="sku" localSheetId="35">#REF!</definedName>
    <definedName name="sku" localSheetId="49">#REF!</definedName>
    <definedName name="sku" localSheetId="61">#REF!</definedName>
    <definedName name="sku" localSheetId="62">#REF!</definedName>
    <definedName name="sku" localSheetId="39">#REF!</definedName>
    <definedName name="sku" localSheetId="47">#REF!</definedName>
    <definedName name="sku" localSheetId="41">#REF!</definedName>
    <definedName name="sku" localSheetId="43">#REF!</definedName>
    <definedName name="sku" localSheetId="44">#REF!</definedName>
    <definedName name="sku" localSheetId="45">#REF!</definedName>
    <definedName name="sku" localSheetId="81">#REF!</definedName>
    <definedName name="sku" localSheetId="82">#REF!</definedName>
    <definedName name="sku" localSheetId="46">#REF!</definedName>
    <definedName name="sku" localSheetId="48">#REF!</definedName>
    <definedName name="sku" localSheetId="36">#REF!</definedName>
    <definedName name="sku" localSheetId="40">#REF!</definedName>
    <definedName name="sku" localSheetId="37">#REF!</definedName>
    <definedName name="sku" localSheetId="42">#REF!</definedName>
    <definedName name="sku" localSheetId="50">#REF!</definedName>
    <definedName name="sku" localSheetId="5">#REF!</definedName>
    <definedName name="sku" localSheetId="9">#REF!</definedName>
    <definedName name="sku" localSheetId="10">#REF!</definedName>
    <definedName name="sku" localSheetId="3">#REF!</definedName>
    <definedName name="sku" localSheetId="58">#REF!</definedName>
    <definedName name="sku" localSheetId="59">#REF!</definedName>
    <definedName name="sku" localSheetId="7">#REF!</definedName>
    <definedName name="sku" localSheetId="56">#REF!</definedName>
    <definedName name="sku" localSheetId="57">#REF!</definedName>
    <definedName name="sku" localSheetId="60">#REF!</definedName>
    <definedName name="sku" localSheetId="32">#REF!</definedName>
    <definedName name="sku" localSheetId="34">#REF!</definedName>
    <definedName name="sku" localSheetId="22">#REF!</definedName>
    <definedName name="sku" localSheetId="25">#REF!</definedName>
    <definedName name="sku" localSheetId="28">#REF!</definedName>
    <definedName name="sku" localSheetId="30">#REF!</definedName>
    <definedName name="sku" localSheetId="68">#REF!</definedName>
    <definedName name="sku" localSheetId="69">#REF!</definedName>
    <definedName name="sku" localSheetId="73">#REF!</definedName>
    <definedName name="sku">#REF!</definedName>
    <definedName name="stateorprovince" localSheetId="63">#REF!</definedName>
    <definedName name="stateorprovince" localSheetId="64">#REF!</definedName>
    <definedName name="stateorprovince" localSheetId="65">#REF!</definedName>
    <definedName name="stateorprovince" localSheetId="23">#REF!</definedName>
    <definedName name="stateorprovince" localSheetId="26">#REF!</definedName>
    <definedName name="stateorprovince" localSheetId="31">#REF!</definedName>
    <definedName name="stateorprovince" localSheetId="29">#REF!</definedName>
    <definedName name="stateorprovince" localSheetId="33">#REF!</definedName>
    <definedName name="stateorprovince" localSheetId="35">#REF!</definedName>
    <definedName name="stateorprovince" localSheetId="49">#REF!</definedName>
    <definedName name="stateorprovince" localSheetId="61">#REF!</definedName>
    <definedName name="stateorprovince" localSheetId="62">#REF!</definedName>
    <definedName name="stateorprovince" localSheetId="39">#REF!</definedName>
    <definedName name="stateorprovince" localSheetId="47">#REF!</definedName>
    <definedName name="stateorprovince" localSheetId="41">#REF!</definedName>
    <definedName name="stateorprovince" localSheetId="43">#REF!</definedName>
    <definedName name="stateorprovince" localSheetId="44">#REF!</definedName>
    <definedName name="stateorprovince" localSheetId="45">#REF!</definedName>
    <definedName name="stateorprovince" localSheetId="81">#REF!</definedName>
    <definedName name="stateorprovince" localSheetId="82">#REF!</definedName>
    <definedName name="stateorprovince" localSheetId="46">#REF!</definedName>
    <definedName name="stateorprovince" localSheetId="48">#REF!</definedName>
    <definedName name="stateorprovince" localSheetId="36">#REF!</definedName>
    <definedName name="stateorprovince" localSheetId="40">#REF!</definedName>
    <definedName name="stateorprovince" localSheetId="37">#REF!</definedName>
    <definedName name="stateorprovince" localSheetId="42">#REF!</definedName>
    <definedName name="stateorprovince" localSheetId="50">#REF!</definedName>
    <definedName name="stateorprovince" localSheetId="5">#REF!</definedName>
    <definedName name="stateorprovince" localSheetId="9">#REF!</definedName>
    <definedName name="stateorprovince" localSheetId="10">#REF!</definedName>
    <definedName name="stateorprovince" localSheetId="3">#REF!</definedName>
    <definedName name="stateorprovince" localSheetId="58">#REF!</definedName>
    <definedName name="stateorprovince" localSheetId="59">#REF!</definedName>
    <definedName name="stateorprovince" localSheetId="7">#REF!</definedName>
    <definedName name="stateorprovince" localSheetId="56">#REF!</definedName>
    <definedName name="stateorprovince" localSheetId="57">#REF!</definedName>
    <definedName name="stateorprovince" localSheetId="60">#REF!</definedName>
    <definedName name="stateorprovince" localSheetId="32">#REF!</definedName>
    <definedName name="stateorprovince" localSheetId="34">#REF!</definedName>
    <definedName name="stateorprovince" localSheetId="22">#REF!</definedName>
    <definedName name="stateorprovince" localSheetId="25">#REF!</definedName>
    <definedName name="stateorprovince" localSheetId="28">#REF!</definedName>
    <definedName name="stateorprovince" localSheetId="30">#REF!</definedName>
    <definedName name="stateorprovince" localSheetId="68">#REF!</definedName>
    <definedName name="stateorprovince" localSheetId="69">#REF!</definedName>
    <definedName name="stateorprovince" localSheetId="73">#REF!</definedName>
    <definedName name="stateorprovince">#REF!</definedName>
    <definedName name="TEST" localSheetId="63">#REF!</definedName>
    <definedName name="TEST" localSheetId="65">#REF!</definedName>
    <definedName name="TEST" localSheetId="23">#REF!</definedName>
    <definedName name="TEST" localSheetId="26">#REF!</definedName>
    <definedName name="TEST" localSheetId="31">#REF!</definedName>
    <definedName name="TEST" localSheetId="29">#REF!</definedName>
    <definedName name="TEST" localSheetId="33">#REF!</definedName>
    <definedName name="TEST" localSheetId="35">#REF!</definedName>
    <definedName name="TEST" localSheetId="49">#REF!</definedName>
    <definedName name="TEST" localSheetId="61">#REF!</definedName>
    <definedName name="TEST" localSheetId="62">#REF!</definedName>
    <definedName name="TEST" localSheetId="39">#REF!</definedName>
    <definedName name="TEST" localSheetId="47">#REF!</definedName>
    <definedName name="TEST" localSheetId="41">#REF!</definedName>
    <definedName name="TEST" localSheetId="43">#REF!</definedName>
    <definedName name="TEST" localSheetId="44">#REF!</definedName>
    <definedName name="TEST" localSheetId="45">#REF!</definedName>
    <definedName name="TEST" localSheetId="81">#REF!</definedName>
    <definedName name="TEST" localSheetId="82">#REF!</definedName>
    <definedName name="TEST" localSheetId="46">#REF!</definedName>
    <definedName name="TEST" localSheetId="48">#REF!</definedName>
    <definedName name="TEST" localSheetId="36">#REF!</definedName>
    <definedName name="TEST" localSheetId="40">#REF!</definedName>
    <definedName name="TEST" localSheetId="37">#REF!</definedName>
    <definedName name="TEST" localSheetId="42">#REF!</definedName>
    <definedName name="TEST" localSheetId="60">#REF!</definedName>
    <definedName name="TEST" localSheetId="32">#REF!</definedName>
    <definedName name="TEST" localSheetId="34">#REF!</definedName>
    <definedName name="TEST" localSheetId="22">#REF!</definedName>
    <definedName name="TEST" localSheetId="25">#REF!</definedName>
    <definedName name="TEST" localSheetId="28">#REF!</definedName>
    <definedName name="TEST" localSheetId="30">#REF!</definedName>
    <definedName name="TEST">#REF!</definedName>
    <definedName name="volume2" localSheetId="63">#REF!</definedName>
    <definedName name="volume2" localSheetId="64">#REF!</definedName>
    <definedName name="volume2" localSheetId="65">#REF!</definedName>
    <definedName name="volume2" localSheetId="23">#REF!</definedName>
    <definedName name="volume2" localSheetId="26">#REF!</definedName>
    <definedName name="volume2" localSheetId="31">#REF!</definedName>
    <definedName name="volume2" localSheetId="29">#REF!</definedName>
    <definedName name="volume2" localSheetId="33">#REF!</definedName>
    <definedName name="volume2" localSheetId="35">#REF!</definedName>
    <definedName name="volume2" localSheetId="49">#REF!</definedName>
    <definedName name="volume2" localSheetId="61">#REF!</definedName>
    <definedName name="volume2" localSheetId="62">#REF!</definedName>
    <definedName name="volume2" localSheetId="39">#REF!</definedName>
    <definedName name="volume2" localSheetId="47">#REF!</definedName>
    <definedName name="volume2" localSheetId="41">#REF!</definedName>
    <definedName name="volume2" localSheetId="43">#REF!</definedName>
    <definedName name="volume2" localSheetId="44">#REF!</definedName>
    <definedName name="volume2" localSheetId="45">#REF!</definedName>
    <definedName name="volume2" localSheetId="81">#REF!</definedName>
    <definedName name="volume2" localSheetId="82">#REF!</definedName>
    <definedName name="volume2" localSheetId="46">#REF!</definedName>
    <definedName name="volume2" localSheetId="48">#REF!</definedName>
    <definedName name="volume2" localSheetId="36">#REF!</definedName>
    <definedName name="volume2" localSheetId="40">#REF!</definedName>
    <definedName name="volume2" localSheetId="37">#REF!</definedName>
    <definedName name="volume2" localSheetId="42">#REF!</definedName>
    <definedName name="volume2" localSheetId="50">#REF!</definedName>
    <definedName name="volume2" localSheetId="5">#REF!</definedName>
    <definedName name="volume2" localSheetId="9">#REF!</definedName>
    <definedName name="volume2" localSheetId="10">#REF!</definedName>
    <definedName name="volume2" localSheetId="3">#REF!</definedName>
    <definedName name="volume2" localSheetId="58">#REF!</definedName>
    <definedName name="volume2" localSheetId="59">#REF!</definedName>
    <definedName name="volume2" localSheetId="7">#REF!</definedName>
    <definedName name="volume2" localSheetId="56">#REF!</definedName>
    <definedName name="volume2" localSheetId="57">#REF!</definedName>
    <definedName name="volume2" localSheetId="60">#REF!</definedName>
    <definedName name="volume2" localSheetId="32">#REF!</definedName>
    <definedName name="volume2" localSheetId="34">#REF!</definedName>
    <definedName name="volume2" localSheetId="22">#REF!</definedName>
    <definedName name="volume2" localSheetId="25">#REF!</definedName>
    <definedName name="volume2" localSheetId="28">#REF!</definedName>
    <definedName name="volume2" localSheetId="30">#REF!</definedName>
    <definedName name="volume2" localSheetId="68">#REF!</definedName>
    <definedName name="volume2" localSheetId="69">#REF!</definedName>
    <definedName name="volume2" localSheetId="73">#REF!</definedName>
    <definedName name="volume2">#REF!</definedName>
    <definedName name="workphone" localSheetId="63">#REF!</definedName>
    <definedName name="workphone" localSheetId="64">#REF!</definedName>
    <definedName name="workphone" localSheetId="65">#REF!</definedName>
    <definedName name="workphone" localSheetId="23">#REF!</definedName>
    <definedName name="workphone" localSheetId="26">#REF!</definedName>
    <definedName name="workphone" localSheetId="31">#REF!</definedName>
    <definedName name="workphone" localSheetId="29">#REF!</definedName>
    <definedName name="workphone" localSheetId="33">#REF!</definedName>
    <definedName name="workphone" localSheetId="35">#REF!</definedName>
    <definedName name="workphone" localSheetId="49">#REF!</definedName>
    <definedName name="workphone" localSheetId="61">#REF!</definedName>
    <definedName name="workphone" localSheetId="62">#REF!</definedName>
    <definedName name="workphone" localSheetId="39">#REF!</definedName>
    <definedName name="workphone" localSheetId="47">#REF!</definedName>
    <definedName name="workphone" localSheetId="41">#REF!</definedName>
    <definedName name="workphone" localSheetId="43">#REF!</definedName>
    <definedName name="workphone" localSheetId="44">#REF!</definedName>
    <definedName name="workphone" localSheetId="45">#REF!</definedName>
    <definedName name="workphone" localSheetId="81">#REF!</definedName>
    <definedName name="workphone" localSheetId="82">#REF!</definedName>
    <definedName name="workphone" localSheetId="46">#REF!</definedName>
    <definedName name="workphone" localSheetId="48">#REF!</definedName>
    <definedName name="workphone" localSheetId="36">#REF!</definedName>
    <definedName name="workphone" localSheetId="40">#REF!</definedName>
    <definedName name="workphone" localSheetId="37">#REF!</definedName>
    <definedName name="workphone" localSheetId="42">#REF!</definedName>
    <definedName name="workphone" localSheetId="50">#REF!</definedName>
    <definedName name="workphone" localSheetId="5">#REF!</definedName>
    <definedName name="workphone" localSheetId="9">#REF!</definedName>
    <definedName name="workphone" localSheetId="10">#REF!</definedName>
    <definedName name="workphone" localSheetId="3">#REF!</definedName>
    <definedName name="workphone" localSheetId="58">#REF!</definedName>
    <definedName name="workphone" localSheetId="59">#REF!</definedName>
    <definedName name="workphone" localSheetId="7">#REF!</definedName>
    <definedName name="workphone" localSheetId="56">#REF!</definedName>
    <definedName name="workphone" localSheetId="57">#REF!</definedName>
    <definedName name="workphone" localSheetId="60">#REF!</definedName>
    <definedName name="workphone" localSheetId="32">#REF!</definedName>
    <definedName name="workphone" localSheetId="34">#REF!</definedName>
    <definedName name="workphone" localSheetId="22">#REF!</definedName>
    <definedName name="workphone" localSheetId="25">#REF!</definedName>
    <definedName name="workphone" localSheetId="28">#REF!</definedName>
    <definedName name="workphone" localSheetId="30">#REF!</definedName>
    <definedName name="workphone" localSheetId="68">#REF!</definedName>
    <definedName name="workphone" localSheetId="69">#REF!</definedName>
    <definedName name="workphone" localSheetId="73">#REF!</definedName>
    <definedName name="workphon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204" l="1"/>
  <c r="H39" i="204" s="1"/>
  <c r="G39" i="204"/>
  <c r="F40" i="204"/>
  <c r="H40" i="204" s="1"/>
  <c r="G40" i="204"/>
  <c r="F41" i="204"/>
  <c r="H41" i="204" s="1"/>
  <c r="G41" i="204"/>
  <c r="F42" i="204"/>
  <c r="H42" i="204" s="1"/>
  <c r="G42" i="204"/>
  <c r="F43" i="204"/>
  <c r="H43" i="204" s="1"/>
  <c r="G43" i="204"/>
  <c r="F44" i="204"/>
  <c r="H44" i="204" s="1"/>
  <c r="G44" i="204"/>
  <c r="F45" i="204"/>
  <c r="H45" i="204" s="1"/>
  <c r="G45" i="204"/>
  <c r="F46" i="204"/>
  <c r="H46" i="204" s="1"/>
  <c r="G46" i="204"/>
  <c r="F47" i="204"/>
  <c r="H47" i="204" s="1"/>
  <c r="G47" i="204"/>
  <c r="F48" i="204"/>
  <c r="H48" i="204" s="1"/>
  <c r="G48" i="204"/>
  <c r="F49" i="203"/>
  <c r="N49" i="203" s="1"/>
  <c r="O49" i="203" s="1"/>
  <c r="F48" i="203"/>
  <c r="N48" i="203" s="1"/>
  <c r="O48" i="203" s="1"/>
  <c r="F47" i="203"/>
  <c r="N47" i="203" s="1"/>
  <c r="O47" i="203" s="1"/>
  <c r="F46" i="203"/>
  <c r="N46" i="203" s="1"/>
  <c r="O46" i="203" s="1"/>
  <c r="F45" i="203"/>
  <c r="N45" i="203" s="1"/>
  <c r="O45" i="203" s="1"/>
  <c r="F44" i="203"/>
  <c r="N44" i="203" s="1"/>
  <c r="O44" i="203" s="1"/>
  <c r="F43" i="203"/>
  <c r="N43" i="203" s="1"/>
  <c r="O43" i="203" s="1"/>
  <c r="F42" i="203"/>
  <c r="N42" i="203" s="1"/>
  <c r="O42" i="203" s="1"/>
  <c r="F41" i="203"/>
  <c r="N41" i="203" s="1"/>
  <c r="O41" i="203" s="1"/>
  <c r="F40" i="203"/>
  <c r="N40" i="203" s="1"/>
  <c r="O40" i="203" s="1"/>
  <c r="I44" i="204" l="1"/>
  <c r="P44" i="204"/>
  <c r="Q44" i="204" s="1"/>
  <c r="I43" i="204"/>
  <c r="P43" i="204"/>
  <c r="Q43" i="204" s="1"/>
  <c r="I48" i="204"/>
  <c r="P48" i="204"/>
  <c r="Q48" i="204" s="1"/>
  <c r="I42" i="204"/>
  <c r="P42" i="204"/>
  <c r="Q42" i="204" s="1"/>
  <c r="I47" i="204"/>
  <c r="P47" i="204"/>
  <c r="Q47" i="204" s="1"/>
  <c r="I41" i="204"/>
  <c r="P41" i="204"/>
  <c r="Q41" i="204" s="1"/>
  <c r="I46" i="204"/>
  <c r="P46" i="204"/>
  <c r="Q46" i="204" s="1"/>
  <c r="I40" i="204"/>
  <c r="P40" i="204"/>
  <c r="Q40" i="204" s="1"/>
  <c r="I45" i="204"/>
  <c r="P45" i="204"/>
  <c r="Q45" i="204" s="1"/>
  <c r="I39" i="204"/>
  <c r="P39" i="204"/>
  <c r="Q39" i="204" s="1"/>
  <c r="N48" i="204"/>
  <c r="O48" i="204" s="1"/>
  <c r="N47" i="204"/>
  <c r="O47" i="204" s="1"/>
  <c r="N46" i="204"/>
  <c r="O46" i="204" s="1"/>
  <c r="N45" i="204"/>
  <c r="O45" i="204" s="1"/>
  <c r="N44" i="204"/>
  <c r="O44" i="204" s="1"/>
  <c r="N43" i="204"/>
  <c r="O43" i="204" s="1"/>
  <c r="N42" i="204"/>
  <c r="O42" i="204" s="1"/>
  <c r="N41" i="204"/>
  <c r="O41" i="204" s="1"/>
  <c r="N40" i="204"/>
  <c r="O40" i="204" s="1"/>
  <c r="N39" i="204"/>
  <c r="O39" i="204" s="1"/>
  <c r="L48" i="204"/>
  <c r="M48" i="204" s="1"/>
  <c r="L47" i="204"/>
  <c r="M47" i="204" s="1"/>
  <c r="L46" i="204"/>
  <c r="M46" i="204" s="1"/>
  <c r="L45" i="204"/>
  <c r="M45" i="204" s="1"/>
  <c r="L44" i="204"/>
  <c r="M44" i="204" s="1"/>
  <c r="L43" i="204"/>
  <c r="M43" i="204" s="1"/>
  <c r="L42" i="204"/>
  <c r="M42" i="204" s="1"/>
  <c r="L41" i="204"/>
  <c r="M41" i="204" s="1"/>
  <c r="L40" i="204"/>
  <c r="M40" i="204" s="1"/>
  <c r="L39" i="204"/>
  <c r="M39" i="204" s="1"/>
  <c r="J48" i="204"/>
  <c r="K48" i="204" s="1"/>
  <c r="J47" i="204"/>
  <c r="K47" i="204" s="1"/>
  <c r="J46" i="204"/>
  <c r="K46" i="204" s="1"/>
  <c r="J45" i="204"/>
  <c r="K45" i="204" s="1"/>
  <c r="J44" i="204"/>
  <c r="K44" i="204" s="1"/>
  <c r="J43" i="204"/>
  <c r="K43" i="204" s="1"/>
  <c r="J42" i="204"/>
  <c r="K42" i="204" s="1"/>
  <c r="J41" i="204"/>
  <c r="K41" i="204" s="1"/>
  <c r="J40" i="204"/>
  <c r="K40" i="204" s="1"/>
  <c r="J39" i="204"/>
  <c r="K39" i="204" s="1"/>
  <c r="G40" i="203"/>
  <c r="G42" i="203"/>
  <c r="G45" i="203"/>
  <c r="G49" i="203"/>
  <c r="H41" i="203"/>
  <c r="H43" i="203"/>
  <c r="H45" i="203"/>
  <c r="H47" i="203"/>
  <c r="H48" i="203"/>
  <c r="J42" i="203"/>
  <c r="K42" i="203" s="1"/>
  <c r="J45" i="203"/>
  <c r="K45" i="203" s="1"/>
  <c r="J46" i="203"/>
  <c r="K46" i="203" s="1"/>
  <c r="J47" i="203"/>
  <c r="K47" i="203" s="1"/>
  <c r="J48" i="203"/>
  <c r="K48" i="203" s="1"/>
  <c r="J49" i="203"/>
  <c r="K49" i="203" s="1"/>
  <c r="G41" i="203"/>
  <c r="G43" i="203"/>
  <c r="G44" i="203"/>
  <c r="G46" i="203"/>
  <c r="G47" i="203"/>
  <c r="G48" i="203"/>
  <c r="H40" i="203"/>
  <c r="H42" i="203"/>
  <c r="H44" i="203"/>
  <c r="H46" i="203"/>
  <c r="H49" i="203"/>
  <c r="J40" i="203"/>
  <c r="K40" i="203" s="1"/>
  <c r="J41" i="203"/>
  <c r="K41" i="203" s="1"/>
  <c r="J43" i="203"/>
  <c r="K43" i="203" s="1"/>
  <c r="J44" i="203"/>
  <c r="K44" i="203" s="1"/>
  <c r="L40" i="203"/>
  <c r="M40" i="203" s="1"/>
  <c r="L41" i="203"/>
  <c r="M41" i="203" s="1"/>
  <c r="L42" i="203"/>
  <c r="M42" i="203" s="1"/>
  <c r="L43" i="203"/>
  <c r="M43" i="203" s="1"/>
  <c r="L44" i="203"/>
  <c r="M44" i="203" s="1"/>
  <c r="L45" i="203"/>
  <c r="M45" i="203" s="1"/>
  <c r="L46" i="203"/>
  <c r="M46" i="203" s="1"/>
  <c r="L47" i="203"/>
  <c r="M47" i="203" s="1"/>
  <c r="L48" i="203"/>
  <c r="M48" i="203" s="1"/>
  <c r="L49" i="203"/>
  <c r="M49" i="203" s="1"/>
  <c r="P49" i="203" l="1"/>
  <c r="Q49" i="203" s="1"/>
  <c r="I49" i="203"/>
  <c r="I48" i="203"/>
  <c r="P48" i="203"/>
  <c r="Q48" i="203" s="1"/>
  <c r="I47" i="203"/>
  <c r="P47" i="203"/>
  <c r="Q47" i="203" s="1"/>
  <c r="I46" i="203"/>
  <c r="P46" i="203"/>
  <c r="Q46" i="203" s="1"/>
  <c r="I44" i="203"/>
  <c r="P44" i="203"/>
  <c r="Q44" i="203" s="1"/>
  <c r="I42" i="203"/>
  <c r="P42" i="203"/>
  <c r="Q42" i="203" s="1"/>
  <c r="P40" i="203"/>
  <c r="Q40" i="203" s="1"/>
  <c r="I40" i="203"/>
  <c r="I45" i="203"/>
  <c r="P45" i="203"/>
  <c r="Q45" i="203" s="1"/>
  <c r="I43" i="203"/>
  <c r="P43" i="203"/>
  <c r="Q43" i="203" s="1"/>
  <c r="P41" i="203"/>
  <c r="Q41" i="203" s="1"/>
  <c r="I41" i="203"/>
  <c r="L33" i="140" l="1"/>
  <c r="Q22" i="140"/>
  <c r="O22" i="140"/>
  <c r="M22" i="140"/>
  <c r="K22" i="140"/>
  <c r="I22" i="140"/>
  <c r="G22" i="140"/>
  <c r="Q19" i="140"/>
  <c r="P19" i="140"/>
  <c r="O19" i="140"/>
  <c r="N19" i="140"/>
  <c r="M19" i="140"/>
  <c r="L19" i="140"/>
  <c r="K19" i="140"/>
  <c r="J19" i="140"/>
  <c r="I19" i="140"/>
  <c r="H19" i="140"/>
  <c r="G19" i="140"/>
  <c r="F19" i="140"/>
  <c r="L33" i="139"/>
  <c r="Q22" i="139"/>
  <c r="O22" i="139"/>
  <c r="M22" i="139"/>
  <c r="K22" i="139"/>
  <c r="I22" i="139"/>
  <c r="G22" i="139"/>
  <c r="Q19" i="139"/>
  <c r="P19" i="139"/>
  <c r="O19" i="139"/>
  <c r="N19" i="139"/>
  <c r="M19" i="139"/>
  <c r="L19" i="139"/>
  <c r="K19" i="139"/>
  <c r="J19" i="139"/>
  <c r="I19" i="139"/>
  <c r="H19" i="139"/>
  <c r="G19" i="139"/>
  <c r="F19" i="139"/>
  <c r="O52" i="146"/>
  <c r="O52" i="146" a="1"/>
  <c r="M52" i="146"/>
  <c r="M52" i="146" a="1"/>
  <c r="K52" i="146"/>
  <c r="K52" i="146" a="1"/>
  <c r="I52" i="146"/>
  <c r="I52" i="146" a="1"/>
  <c r="G52" i="146"/>
  <c r="G52" i="146" a="1"/>
  <c r="O51" i="146"/>
  <c r="N51" i="146"/>
  <c r="M51" i="146"/>
  <c r="L51" i="146"/>
  <c r="K51" i="146"/>
  <c r="J51" i="146"/>
  <c r="I51" i="146"/>
  <c r="H51" i="146"/>
  <c r="G51" i="146"/>
  <c r="O50" i="146"/>
  <c r="N50" i="146"/>
  <c r="M50" i="146"/>
  <c r="L50" i="146"/>
  <c r="K50" i="146"/>
  <c r="J50" i="146"/>
  <c r="I50" i="146"/>
  <c r="H50" i="146"/>
  <c r="G50" i="146"/>
  <c r="O49" i="146"/>
  <c r="N49" i="146"/>
  <c r="M49" i="146"/>
  <c r="L49" i="146"/>
  <c r="K49" i="146"/>
  <c r="J49" i="146"/>
  <c r="I49" i="146"/>
  <c r="H49" i="146"/>
  <c r="G49" i="146"/>
  <c r="O48" i="146"/>
  <c r="N48" i="146"/>
  <c r="M48" i="146"/>
  <c r="L48" i="146"/>
  <c r="K48" i="146"/>
  <c r="J48" i="146"/>
  <c r="I48" i="146"/>
  <c r="H48" i="146"/>
  <c r="G48" i="146"/>
  <c r="O47" i="146"/>
  <c r="N47" i="146"/>
  <c r="M47" i="146"/>
  <c r="L47" i="146"/>
  <c r="K47" i="146"/>
  <c r="J47" i="146"/>
  <c r="I47" i="146"/>
  <c r="H47" i="146"/>
  <c r="G47" i="146"/>
  <c r="O46" i="146"/>
  <c r="N46" i="146"/>
  <c r="M46" i="146"/>
  <c r="L46" i="146"/>
  <c r="K46" i="146"/>
  <c r="J46" i="146"/>
  <c r="I46" i="146"/>
  <c r="H46" i="146"/>
  <c r="G46" i="146"/>
  <c r="O45" i="146"/>
  <c r="N45" i="146"/>
  <c r="M45" i="146"/>
  <c r="L45" i="146"/>
  <c r="K45" i="146"/>
  <c r="J45" i="146"/>
  <c r="I45" i="146"/>
  <c r="H45" i="146"/>
  <c r="G45" i="146"/>
  <c r="O44" i="146"/>
  <c r="N44" i="146"/>
  <c r="M44" i="146"/>
  <c r="L44" i="146"/>
  <c r="K44" i="146"/>
  <c r="J44" i="146"/>
  <c r="I44" i="146"/>
  <c r="H44" i="146"/>
  <c r="G44" i="146"/>
  <c r="O43" i="146"/>
  <c r="N43" i="146"/>
  <c r="M43" i="146"/>
  <c r="L43" i="146"/>
  <c r="K43" i="146"/>
  <c r="J43" i="146"/>
  <c r="I43" i="146"/>
  <c r="H43" i="146"/>
  <c r="G43" i="146"/>
  <c r="O42" i="146"/>
  <c r="N42" i="146"/>
  <c r="M42" i="146"/>
  <c r="L42" i="146"/>
  <c r="K42" i="146"/>
  <c r="J42" i="146"/>
  <c r="I42" i="146"/>
  <c r="H42" i="146"/>
  <c r="G42" i="146"/>
  <c r="O41" i="146"/>
  <c r="N41" i="146"/>
  <c r="M41" i="146"/>
  <c r="L41" i="146"/>
  <c r="K41" i="146"/>
  <c r="J41" i="146"/>
  <c r="I41" i="146"/>
  <c r="H41" i="146"/>
  <c r="G41" i="146"/>
  <c r="O40" i="146"/>
  <c r="N40" i="146"/>
  <c r="M40" i="146"/>
  <c r="L40" i="146"/>
  <c r="K40" i="146"/>
  <c r="J40" i="146"/>
  <c r="I40" i="146"/>
  <c r="H40" i="146"/>
  <c r="G40" i="146"/>
  <c r="O39" i="146"/>
  <c r="N39" i="146"/>
  <c r="M39" i="146"/>
  <c r="L39" i="146"/>
  <c r="K39" i="146"/>
  <c r="J39" i="146"/>
  <c r="I39" i="146"/>
  <c r="H39" i="146"/>
  <c r="G39" i="146"/>
  <c r="O38" i="146"/>
  <c r="N38" i="146"/>
  <c r="M38" i="146"/>
  <c r="L38" i="146"/>
  <c r="K38" i="146"/>
  <c r="J38" i="146"/>
  <c r="I38" i="146"/>
  <c r="H38" i="146"/>
  <c r="G38" i="146"/>
  <c r="O37" i="146"/>
  <c r="N37" i="146"/>
  <c r="M37" i="146"/>
  <c r="L37" i="146"/>
  <c r="K37" i="146"/>
  <c r="J37" i="146"/>
  <c r="I37" i="146"/>
  <c r="H37" i="146"/>
  <c r="G37" i="146"/>
  <c r="O36" i="146"/>
  <c r="N36" i="146"/>
  <c r="M36" i="146"/>
  <c r="L36" i="146"/>
  <c r="K36" i="146"/>
  <c r="J36" i="146"/>
  <c r="I36" i="146"/>
  <c r="H36" i="146"/>
  <c r="G36" i="146"/>
  <c r="O33" i="146"/>
  <c r="N33" i="146"/>
  <c r="M33" i="146"/>
  <c r="L33" i="146"/>
  <c r="K33" i="146"/>
  <c r="J33" i="146"/>
  <c r="I33" i="146"/>
  <c r="H33" i="146"/>
  <c r="G33" i="146"/>
  <c r="F33" i="146"/>
  <c r="L39" i="224"/>
  <c r="L39" i="223"/>
  <c r="L39" i="222"/>
  <c r="L39" i="221"/>
  <c r="L39" i="220"/>
  <c r="L39" i="219"/>
  <c r="L39" i="218"/>
  <c r="L39" i="217"/>
  <c r="L39" i="216"/>
  <c r="L39" i="215"/>
  <c r="L39" i="214"/>
  <c r="L39" i="213"/>
  <c r="L39" i="212"/>
  <c r="L39" i="211"/>
  <c r="O79" i="210"/>
  <c r="O79" i="210" a="1"/>
  <c r="M79" i="210"/>
  <c r="M79" i="210" a="1"/>
  <c r="K79" i="210"/>
  <c r="K79" i="210" a="1"/>
  <c r="I79" i="210"/>
  <c r="I79" i="210" a="1"/>
  <c r="G79" i="210"/>
  <c r="G79" i="210" a="1"/>
  <c r="O78" i="210"/>
  <c r="N78" i="210"/>
  <c r="M78" i="210"/>
  <c r="L78" i="210"/>
  <c r="K78" i="210"/>
  <c r="J78" i="210"/>
  <c r="I78" i="210"/>
  <c r="H78" i="210"/>
  <c r="G78" i="210"/>
  <c r="F78" i="210"/>
  <c r="O77" i="210"/>
  <c r="N77" i="210"/>
  <c r="M77" i="210"/>
  <c r="L77" i="210"/>
  <c r="K77" i="210"/>
  <c r="J77" i="210"/>
  <c r="I77" i="210"/>
  <c r="H77" i="210"/>
  <c r="G77" i="210"/>
  <c r="F77" i="210"/>
  <c r="O76" i="210"/>
  <c r="N76" i="210"/>
  <c r="M76" i="210"/>
  <c r="L76" i="210"/>
  <c r="K76" i="210"/>
  <c r="J76" i="210"/>
  <c r="I76" i="210"/>
  <c r="H76" i="210"/>
  <c r="G76" i="210"/>
  <c r="F76" i="210"/>
  <c r="O75" i="210"/>
  <c r="N75" i="210"/>
  <c r="M75" i="210"/>
  <c r="L75" i="210"/>
  <c r="K75" i="210"/>
  <c r="J75" i="210"/>
  <c r="I75" i="210"/>
  <c r="H75" i="210"/>
  <c r="G75" i="210"/>
  <c r="F75" i="210"/>
  <c r="O74" i="210"/>
  <c r="N74" i="210"/>
  <c r="M74" i="210"/>
  <c r="L74" i="210"/>
  <c r="K74" i="210"/>
  <c r="J74" i="210"/>
  <c r="I74" i="210"/>
  <c r="H74" i="210"/>
  <c r="G74" i="210"/>
  <c r="F74" i="210"/>
  <c r="O73" i="210"/>
  <c r="N73" i="210"/>
  <c r="M73" i="210"/>
  <c r="L73" i="210"/>
  <c r="K73" i="210"/>
  <c r="J73" i="210"/>
  <c r="I73" i="210"/>
  <c r="H73" i="210"/>
  <c r="G73" i="210"/>
  <c r="F73" i="210"/>
  <c r="O72" i="210"/>
  <c r="N72" i="210"/>
  <c r="M72" i="210"/>
  <c r="L72" i="210"/>
  <c r="K72" i="210"/>
  <c r="J72" i="210"/>
  <c r="I72" i="210"/>
  <c r="H72" i="210"/>
  <c r="G72" i="210"/>
  <c r="F72" i="210"/>
  <c r="O71" i="210"/>
  <c r="N71" i="210"/>
  <c r="M71" i="210"/>
  <c r="L71" i="210"/>
  <c r="K71" i="210"/>
  <c r="J71" i="210"/>
  <c r="I71" i="210"/>
  <c r="H71" i="210"/>
  <c r="G71" i="210"/>
  <c r="F71" i="210"/>
  <c r="O70" i="210"/>
  <c r="N70" i="210"/>
  <c r="M70" i="210"/>
  <c r="L70" i="210"/>
  <c r="K70" i="210"/>
  <c r="J70" i="210"/>
  <c r="I70" i="210"/>
  <c r="H70" i="210"/>
  <c r="G70" i="210"/>
  <c r="F70" i="210"/>
  <c r="O69" i="210"/>
  <c r="N69" i="210"/>
  <c r="M69" i="210"/>
  <c r="L69" i="210"/>
  <c r="K69" i="210"/>
  <c r="J69" i="210"/>
  <c r="I69" i="210"/>
  <c r="H69" i="210"/>
  <c r="G69" i="210"/>
  <c r="F69" i="210"/>
  <c r="O68" i="210"/>
  <c r="N68" i="210"/>
  <c r="M68" i="210"/>
  <c r="L68" i="210"/>
  <c r="K68" i="210"/>
  <c r="J68" i="210"/>
  <c r="I68" i="210"/>
  <c r="H68" i="210"/>
  <c r="G68" i="210"/>
  <c r="F68" i="210"/>
  <c r="O67" i="210"/>
  <c r="N67" i="210"/>
  <c r="M67" i="210"/>
  <c r="L67" i="210"/>
  <c r="K67" i="210"/>
  <c r="J67" i="210"/>
  <c r="I67" i="210"/>
  <c r="H67" i="210"/>
  <c r="G67" i="210"/>
  <c r="F67" i="210"/>
  <c r="O66" i="210"/>
  <c r="N66" i="210"/>
  <c r="M66" i="210"/>
  <c r="L66" i="210"/>
  <c r="K66" i="210"/>
  <c r="J66" i="210"/>
  <c r="I66" i="210"/>
  <c r="H66" i="210"/>
  <c r="G66" i="210"/>
  <c r="F66" i="210"/>
  <c r="O65" i="210"/>
  <c r="N65" i="210"/>
  <c r="M65" i="210"/>
  <c r="L65" i="210"/>
  <c r="K65" i="210"/>
  <c r="J65" i="210"/>
  <c r="I65" i="210"/>
  <c r="H65" i="210"/>
  <c r="G65" i="210"/>
  <c r="F65" i="210"/>
  <c r="O64" i="210"/>
  <c r="N64" i="210"/>
  <c r="M64" i="210"/>
  <c r="L64" i="210"/>
  <c r="K64" i="210"/>
  <c r="J64" i="210"/>
  <c r="I64" i="210"/>
  <c r="H64" i="210"/>
  <c r="G64" i="210"/>
  <c r="F64" i="210"/>
  <c r="O63" i="210"/>
  <c r="N63" i="210"/>
  <c r="M63" i="210"/>
  <c r="L63" i="210"/>
  <c r="K63" i="210"/>
  <c r="J63" i="210"/>
  <c r="I63" i="210"/>
  <c r="H63" i="210"/>
  <c r="G63" i="210"/>
  <c r="F63" i="210"/>
  <c r="O62" i="210"/>
  <c r="N62" i="210"/>
  <c r="M62" i="210"/>
  <c r="L62" i="210"/>
  <c r="K62" i="210"/>
  <c r="J62" i="210"/>
  <c r="I62" i="210"/>
  <c r="H62" i="210"/>
  <c r="G62" i="210"/>
  <c r="F62" i="210"/>
  <c r="O61" i="210"/>
  <c r="N61" i="210"/>
  <c r="M61" i="210"/>
  <c r="L61" i="210"/>
  <c r="K61" i="210"/>
  <c r="J61" i="210"/>
  <c r="I61" i="210"/>
  <c r="H61" i="210"/>
  <c r="G61" i="210"/>
  <c r="F61" i="210"/>
  <c r="O60" i="210"/>
  <c r="N60" i="210"/>
  <c r="M60" i="210"/>
  <c r="L60" i="210"/>
  <c r="K60" i="210"/>
  <c r="J60" i="210"/>
  <c r="I60" i="210"/>
  <c r="H60" i="210"/>
  <c r="G60" i="210"/>
  <c r="F60" i="210"/>
  <c r="O59" i="210"/>
  <c r="N59" i="210"/>
  <c r="M59" i="210"/>
  <c r="L59" i="210"/>
  <c r="K59" i="210"/>
  <c r="J59" i="210"/>
  <c r="I59" i="210"/>
  <c r="H59" i="210"/>
  <c r="G59" i="210"/>
  <c r="F59" i="210"/>
  <c r="O58" i="210"/>
  <c r="N58" i="210"/>
  <c r="M58" i="210"/>
  <c r="L58" i="210"/>
  <c r="K58" i="210"/>
  <c r="J58" i="210"/>
  <c r="I58" i="210"/>
  <c r="H58" i="210"/>
  <c r="G58" i="210"/>
  <c r="F58" i="210"/>
  <c r="O57" i="210"/>
  <c r="N57" i="210"/>
  <c r="M57" i="210"/>
  <c r="L57" i="210"/>
  <c r="K57" i="210"/>
  <c r="J57" i="210"/>
  <c r="I57" i="210"/>
  <c r="H57" i="210"/>
  <c r="G57" i="210"/>
  <c r="F57" i="210"/>
  <c r="O56" i="210"/>
  <c r="N56" i="210"/>
  <c r="M56" i="210"/>
  <c r="L56" i="210"/>
  <c r="K56" i="210"/>
  <c r="J56" i="210"/>
  <c r="I56" i="210"/>
  <c r="H56" i="210"/>
  <c r="G56" i="210"/>
  <c r="F56" i="210"/>
  <c r="O55" i="210"/>
  <c r="N55" i="210"/>
  <c r="M55" i="210"/>
  <c r="L55" i="210"/>
  <c r="K55" i="210"/>
  <c r="J55" i="210"/>
  <c r="I55" i="210"/>
  <c r="H55" i="210"/>
  <c r="G55" i="210"/>
  <c r="F55" i="210"/>
  <c r="O54" i="210"/>
  <c r="N54" i="210"/>
  <c r="M54" i="210"/>
  <c r="L54" i="210"/>
  <c r="K54" i="210"/>
  <c r="J54" i="210"/>
  <c r="I54" i="210"/>
  <c r="H54" i="210"/>
  <c r="G54" i="210"/>
  <c r="F54" i="210"/>
  <c r="O53" i="210"/>
  <c r="N53" i="210"/>
  <c r="M53" i="210"/>
  <c r="L53" i="210"/>
  <c r="K53" i="210"/>
  <c r="J53" i="210"/>
  <c r="I53" i="210"/>
  <c r="H53" i="210"/>
  <c r="G53" i="210"/>
  <c r="F53" i="210"/>
  <c r="O50" i="210"/>
  <c r="N50" i="210"/>
  <c r="M50" i="210"/>
  <c r="L50" i="210"/>
  <c r="K50" i="210"/>
  <c r="J50" i="210"/>
  <c r="I50" i="210"/>
  <c r="H50" i="210"/>
  <c r="G50" i="210"/>
  <c r="F50" i="210"/>
  <c r="O47" i="210"/>
  <c r="N47" i="210"/>
  <c r="M47" i="210"/>
  <c r="L47" i="210"/>
  <c r="K47" i="210"/>
  <c r="J47" i="210"/>
  <c r="I47" i="210"/>
  <c r="H47" i="210"/>
  <c r="G47" i="210"/>
  <c r="F47" i="210"/>
  <c r="O44" i="210"/>
  <c r="N44" i="210"/>
  <c r="M44" i="210"/>
  <c r="L44" i="210"/>
  <c r="K44" i="210"/>
  <c r="J44" i="210"/>
  <c r="I44" i="210"/>
  <c r="H44" i="210"/>
  <c r="G44" i="210"/>
  <c r="F44" i="210"/>
  <c r="O69" i="209"/>
  <c r="O69" i="209" a="1"/>
  <c r="M69" i="209"/>
  <c r="M69" i="209" a="1"/>
  <c r="K69" i="209"/>
  <c r="K69" i="209" a="1"/>
  <c r="I69" i="209"/>
  <c r="I69" i="209" a="1"/>
  <c r="G69" i="209"/>
  <c r="G69" i="209" a="1"/>
  <c r="O68" i="209"/>
  <c r="N68" i="209"/>
  <c r="M68" i="209"/>
  <c r="L68" i="209"/>
  <c r="K68" i="209"/>
  <c r="J68" i="209"/>
  <c r="I68" i="209"/>
  <c r="H68" i="209"/>
  <c r="G68" i="209"/>
  <c r="F68" i="209"/>
  <c r="O67" i="209"/>
  <c r="N67" i="209"/>
  <c r="M67" i="209"/>
  <c r="L67" i="209"/>
  <c r="K67" i="209"/>
  <c r="J67" i="209"/>
  <c r="I67" i="209"/>
  <c r="H67" i="209"/>
  <c r="G67" i="209"/>
  <c r="F67" i="209"/>
  <c r="O66" i="209"/>
  <c r="N66" i="209"/>
  <c r="M66" i="209"/>
  <c r="L66" i="209"/>
  <c r="K66" i="209"/>
  <c r="J66" i="209"/>
  <c r="I66" i="209"/>
  <c r="H66" i="209"/>
  <c r="G66" i="209"/>
  <c r="F66" i="209"/>
  <c r="O65" i="209"/>
  <c r="N65" i="209"/>
  <c r="M65" i="209"/>
  <c r="L65" i="209"/>
  <c r="K65" i="209"/>
  <c r="J65" i="209"/>
  <c r="I65" i="209"/>
  <c r="H65" i="209"/>
  <c r="G65" i="209"/>
  <c r="F65" i="209"/>
  <c r="O64" i="209"/>
  <c r="N64" i="209"/>
  <c r="M64" i="209"/>
  <c r="L64" i="209"/>
  <c r="K64" i="209"/>
  <c r="J64" i="209"/>
  <c r="I64" i="209"/>
  <c r="H64" i="209"/>
  <c r="G64" i="209"/>
  <c r="F64" i="209"/>
  <c r="O63" i="209"/>
  <c r="N63" i="209"/>
  <c r="M63" i="209"/>
  <c r="L63" i="209"/>
  <c r="K63" i="209"/>
  <c r="J63" i="209"/>
  <c r="I63" i="209"/>
  <c r="H63" i="209"/>
  <c r="G63" i="209"/>
  <c r="F63" i="209"/>
  <c r="O62" i="209"/>
  <c r="N62" i="209"/>
  <c r="M62" i="209"/>
  <c r="L62" i="209"/>
  <c r="K62" i="209"/>
  <c r="J62" i="209"/>
  <c r="I62" i="209"/>
  <c r="H62" i="209"/>
  <c r="G62" i="209"/>
  <c r="F62" i="209"/>
  <c r="O61" i="209"/>
  <c r="N61" i="209"/>
  <c r="M61" i="209"/>
  <c r="L61" i="209"/>
  <c r="K61" i="209"/>
  <c r="J61" i="209"/>
  <c r="I61" i="209"/>
  <c r="H61" i="209"/>
  <c r="G61" i="209"/>
  <c r="F61" i="209"/>
  <c r="O60" i="209"/>
  <c r="N60" i="209"/>
  <c r="M60" i="209"/>
  <c r="L60" i="209"/>
  <c r="K60" i="209"/>
  <c r="J60" i="209"/>
  <c r="I60" i="209"/>
  <c r="H60" i="209"/>
  <c r="G60" i="209"/>
  <c r="F60" i="209"/>
  <c r="O59" i="209"/>
  <c r="N59" i="209"/>
  <c r="M59" i="209"/>
  <c r="L59" i="209"/>
  <c r="K59" i="209"/>
  <c r="J59" i="209"/>
  <c r="I59" i="209"/>
  <c r="H59" i="209"/>
  <c r="G59" i="209"/>
  <c r="F59" i="209"/>
  <c r="O58" i="209"/>
  <c r="N58" i="209"/>
  <c r="M58" i="209"/>
  <c r="L58" i="209"/>
  <c r="K58" i="209"/>
  <c r="J58" i="209"/>
  <c r="I58" i="209"/>
  <c r="H58" i="209"/>
  <c r="G58" i="209"/>
  <c r="F58" i="209"/>
  <c r="O57" i="209"/>
  <c r="N57" i="209"/>
  <c r="M57" i="209"/>
  <c r="L57" i="209"/>
  <c r="K57" i="209"/>
  <c r="J57" i="209"/>
  <c r="I57" i="209"/>
  <c r="H57" i="209"/>
  <c r="G57" i="209"/>
  <c r="F57" i="209"/>
  <c r="O56" i="209"/>
  <c r="N56" i="209"/>
  <c r="M56" i="209"/>
  <c r="L56" i="209"/>
  <c r="K56" i="209"/>
  <c r="J56" i="209"/>
  <c r="I56" i="209"/>
  <c r="H56" i="209"/>
  <c r="G56" i="209"/>
  <c r="F56" i="209"/>
  <c r="O55" i="209"/>
  <c r="N55" i="209"/>
  <c r="M55" i="209"/>
  <c r="L55" i="209"/>
  <c r="K55" i="209"/>
  <c r="J55" i="209"/>
  <c r="I55" i="209"/>
  <c r="H55" i="209"/>
  <c r="G55" i="209"/>
  <c r="F55" i="209"/>
  <c r="O54" i="209"/>
  <c r="N54" i="209"/>
  <c r="M54" i="209"/>
  <c r="L54" i="209"/>
  <c r="K54" i="209"/>
  <c r="J54" i="209"/>
  <c r="I54" i="209"/>
  <c r="H54" i="209"/>
  <c r="G54" i="209"/>
  <c r="F54" i="209"/>
  <c r="O53" i="209"/>
  <c r="N53" i="209"/>
  <c r="M53" i="209"/>
  <c r="L53" i="209"/>
  <c r="K53" i="209"/>
  <c r="J53" i="209"/>
  <c r="I53" i="209"/>
  <c r="H53" i="209"/>
  <c r="G53" i="209"/>
  <c r="F53" i="209"/>
  <c r="O50" i="209"/>
  <c r="N50" i="209"/>
  <c r="M50" i="209"/>
  <c r="L50" i="209"/>
  <c r="K50" i="209"/>
  <c r="J50" i="209"/>
  <c r="I50" i="209"/>
  <c r="H50" i="209"/>
  <c r="G50" i="209"/>
  <c r="F50" i="209"/>
  <c r="O47" i="209"/>
  <c r="N47" i="209"/>
  <c r="M47" i="209"/>
  <c r="L47" i="209"/>
  <c r="K47" i="209"/>
  <c r="J47" i="209"/>
  <c r="I47" i="209"/>
  <c r="H47" i="209"/>
  <c r="G47" i="209"/>
  <c r="F47" i="209"/>
  <c r="O44" i="209"/>
  <c r="N44" i="209"/>
  <c r="M44" i="209"/>
  <c r="L44" i="209"/>
  <c r="K44" i="209"/>
  <c r="J44" i="209"/>
  <c r="I44" i="209"/>
  <c r="H44" i="209"/>
  <c r="G44" i="209"/>
  <c r="F44" i="209"/>
  <c r="L39" i="209"/>
  <c r="O63" i="208"/>
  <c r="O63" i="208" a="1"/>
  <c r="M63" i="208"/>
  <c r="M63" i="208" a="1"/>
  <c r="K63" i="208"/>
  <c r="K63" i="208" a="1"/>
  <c r="I63" i="208"/>
  <c r="I63" i="208" a="1"/>
  <c r="G63" i="208"/>
  <c r="G63" i="208" a="1"/>
  <c r="O62" i="208"/>
  <c r="N62" i="208"/>
  <c r="M62" i="208"/>
  <c r="L62" i="208"/>
  <c r="K62" i="208"/>
  <c r="J62" i="208"/>
  <c r="I62" i="208"/>
  <c r="H62" i="208"/>
  <c r="G62" i="208"/>
  <c r="F62" i="208"/>
  <c r="O61" i="208"/>
  <c r="N61" i="208"/>
  <c r="M61" i="208"/>
  <c r="L61" i="208"/>
  <c r="K61" i="208"/>
  <c r="J61" i="208"/>
  <c r="I61" i="208"/>
  <c r="H61" i="208"/>
  <c r="G61" i="208"/>
  <c r="F61" i="208"/>
  <c r="O60" i="208"/>
  <c r="N60" i="208"/>
  <c r="M60" i="208"/>
  <c r="L60" i="208"/>
  <c r="K60" i="208"/>
  <c r="J60" i="208"/>
  <c r="I60" i="208"/>
  <c r="H60" i="208"/>
  <c r="G60" i="208"/>
  <c r="F60" i="208"/>
  <c r="O59" i="208"/>
  <c r="N59" i="208"/>
  <c r="M59" i="208"/>
  <c r="L59" i="208"/>
  <c r="K59" i="208"/>
  <c r="J59" i="208"/>
  <c r="I59" i="208"/>
  <c r="H59" i="208"/>
  <c r="G59" i="208"/>
  <c r="F59" i="208"/>
  <c r="O58" i="208"/>
  <c r="N58" i="208"/>
  <c r="M58" i="208"/>
  <c r="L58" i="208"/>
  <c r="K58" i="208"/>
  <c r="J58" i="208"/>
  <c r="I58" i="208"/>
  <c r="H58" i="208"/>
  <c r="G58" i="208"/>
  <c r="F58" i="208"/>
  <c r="O57" i="208"/>
  <c r="N57" i="208"/>
  <c r="M57" i="208"/>
  <c r="L57" i="208"/>
  <c r="K57" i="208"/>
  <c r="J57" i="208"/>
  <c r="I57" i="208"/>
  <c r="H57" i="208"/>
  <c r="G57" i="208"/>
  <c r="F57" i="208"/>
  <c r="O56" i="208"/>
  <c r="N56" i="208"/>
  <c r="M56" i="208"/>
  <c r="L56" i="208"/>
  <c r="K56" i="208"/>
  <c r="J56" i="208"/>
  <c r="I56" i="208"/>
  <c r="H56" i="208"/>
  <c r="G56" i="208"/>
  <c r="F56" i="208"/>
  <c r="O55" i="208"/>
  <c r="N55" i="208"/>
  <c r="M55" i="208"/>
  <c r="L55" i="208"/>
  <c r="K55" i="208"/>
  <c r="J55" i="208"/>
  <c r="I55" i="208"/>
  <c r="H55" i="208"/>
  <c r="G55" i="208"/>
  <c r="F55" i="208"/>
  <c r="O54" i="208"/>
  <c r="N54" i="208"/>
  <c r="M54" i="208"/>
  <c r="L54" i="208"/>
  <c r="K54" i="208"/>
  <c r="J54" i="208"/>
  <c r="I54" i="208"/>
  <c r="H54" i="208"/>
  <c r="G54" i="208"/>
  <c r="F54" i="208"/>
  <c r="O53" i="208"/>
  <c r="N53" i="208"/>
  <c r="M53" i="208"/>
  <c r="L53" i="208"/>
  <c r="K53" i="208"/>
  <c r="J53" i="208"/>
  <c r="I53" i="208"/>
  <c r="H53" i="208"/>
  <c r="G53" i="208"/>
  <c r="F53" i="208"/>
  <c r="O52" i="208"/>
  <c r="N52" i="208"/>
  <c r="M52" i="208"/>
  <c r="L52" i="208"/>
  <c r="K52" i="208"/>
  <c r="J52" i="208"/>
  <c r="I52" i="208"/>
  <c r="H52" i="208"/>
  <c r="G52" i="208"/>
  <c r="F52" i="208"/>
  <c r="O51" i="208"/>
  <c r="N51" i="208"/>
  <c r="M51" i="208"/>
  <c r="L51" i="208"/>
  <c r="K51" i="208"/>
  <c r="J51" i="208"/>
  <c r="I51" i="208"/>
  <c r="H51" i="208"/>
  <c r="G51" i="208"/>
  <c r="F51" i="208"/>
  <c r="O50" i="208"/>
  <c r="N50" i="208"/>
  <c r="M50" i="208"/>
  <c r="L50" i="208"/>
  <c r="K50" i="208"/>
  <c r="J50" i="208"/>
  <c r="I50" i="208"/>
  <c r="H50" i="208"/>
  <c r="G50" i="208"/>
  <c r="F50" i="208"/>
  <c r="O49" i="208"/>
  <c r="N49" i="208"/>
  <c r="M49" i="208"/>
  <c r="L49" i="208"/>
  <c r="K49" i="208"/>
  <c r="J49" i="208"/>
  <c r="I49" i="208"/>
  <c r="H49" i="208"/>
  <c r="G49" i="208"/>
  <c r="F49" i="208"/>
  <c r="O48" i="208"/>
  <c r="N48" i="208"/>
  <c r="M48" i="208"/>
  <c r="L48" i="208"/>
  <c r="K48" i="208"/>
  <c r="J48" i="208"/>
  <c r="I48" i="208"/>
  <c r="H48" i="208"/>
  <c r="G48" i="208"/>
  <c r="F48" i="208"/>
  <c r="O47" i="208"/>
  <c r="N47" i="208"/>
  <c r="M47" i="208"/>
  <c r="L47" i="208"/>
  <c r="K47" i="208"/>
  <c r="J47" i="208"/>
  <c r="I47" i="208"/>
  <c r="H47" i="208"/>
  <c r="G47" i="208"/>
  <c r="F47" i="208"/>
  <c r="O44" i="208"/>
  <c r="N44" i="208"/>
  <c r="M44" i="208"/>
  <c r="L44" i="208"/>
  <c r="K44" i="208"/>
  <c r="J44" i="208"/>
  <c r="I44" i="208"/>
  <c r="H44" i="208"/>
  <c r="G44" i="208"/>
  <c r="F44" i="208"/>
  <c r="O41" i="208"/>
  <c r="N41" i="208"/>
  <c r="M41" i="208"/>
  <c r="L41" i="208"/>
  <c r="K41" i="208"/>
  <c r="J41" i="208"/>
  <c r="I41" i="208"/>
  <c r="H41" i="208"/>
  <c r="G41" i="208"/>
  <c r="F41" i="208"/>
  <c r="O46" i="207"/>
  <c r="M46" i="207"/>
  <c r="K46" i="207"/>
  <c r="I46" i="207"/>
  <c r="G46" i="207"/>
  <c r="O45" i="207"/>
  <c r="N45" i="207"/>
  <c r="M45" i="207"/>
  <c r="L45" i="207"/>
  <c r="K45" i="207"/>
  <c r="J45" i="207"/>
  <c r="I45" i="207"/>
  <c r="H45" i="207"/>
  <c r="G45" i="207"/>
  <c r="F45" i="207"/>
  <c r="O44" i="207"/>
  <c r="N44" i="207"/>
  <c r="M44" i="207"/>
  <c r="L44" i="207"/>
  <c r="K44" i="207"/>
  <c r="J44" i="207"/>
  <c r="I44" i="207"/>
  <c r="H44" i="207"/>
  <c r="G44" i="207"/>
  <c r="F44" i="207"/>
  <c r="O41" i="207"/>
  <c r="N41" i="207"/>
  <c r="M41" i="207"/>
  <c r="L41" i="207"/>
  <c r="K41" i="207"/>
  <c r="J41" i="207"/>
  <c r="I41" i="207"/>
  <c r="H41" i="207"/>
  <c r="G41" i="207"/>
  <c r="F41" i="207"/>
  <c r="O49" i="206"/>
  <c r="O49" i="206" a="1"/>
  <c r="M49" i="206"/>
  <c r="M49" i="206" a="1"/>
  <c r="K49" i="206"/>
  <c r="K49" i="206" a="1"/>
  <c r="I49" i="206"/>
  <c r="I49" i="206" a="1"/>
  <c r="G49" i="206"/>
  <c r="G49" i="206" a="1"/>
  <c r="O48" i="206"/>
  <c r="N48" i="206"/>
  <c r="M48" i="206"/>
  <c r="L48" i="206"/>
  <c r="K48" i="206"/>
  <c r="J48" i="206"/>
  <c r="I48" i="206"/>
  <c r="H48" i="206"/>
  <c r="G48" i="206"/>
  <c r="F48" i="206"/>
  <c r="O47" i="206"/>
  <c r="N47" i="206"/>
  <c r="M47" i="206"/>
  <c r="L47" i="206"/>
  <c r="K47" i="206"/>
  <c r="J47" i="206"/>
  <c r="I47" i="206"/>
  <c r="H47" i="206"/>
  <c r="G47" i="206"/>
  <c r="F47" i="206"/>
  <c r="O44" i="206"/>
  <c r="N44" i="206"/>
  <c r="M44" i="206"/>
  <c r="L44" i="206"/>
  <c r="K44" i="206"/>
  <c r="J44" i="206"/>
  <c r="I44" i="206"/>
  <c r="H44" i="206"/>
  <c r="G44" i="206"/>
  <c r="F44" i="206"/>
  <c r="O41" i="206"/>
  <c r="N41" i="206"/>
  <c r="M41" i="206"/>
  <c r="L41" i="206"/>
  <c r="K41" i="206"/>
  <c r="J41" i="206"/>
  <c r="I41" i="206"/>
  <c r="H41" i="206"/>
  <c r="G41" i="206"/>
  <c r="F41" i="206"/>
  <c r="L39" i="205"/>
  <c r="O34" i="205"/>
  <c r="M34" i="205"/>
  <c r="K34" i="205"/>
  <c r="I34" i="205"/>
  <c r="G34" i="205"/>
  <c r="O33" i="205"/>
  <c r="N33" i="205"/>
  <c r="M33" i="205"/>
  <c r="L33" i="205"/>
  <c r="K33" i="205"/>
  <c r="J33" i="205"/>
  <c r="I33" i="205"/>
  <c r="H33" i="205"/>
  <c r="G33" i="205"/>
  <c r="F33" i="205"/>
  <c r="O32" i="205"/>
  <c r="N32" i="205"/>
  <c r="M32" i="205"/>
  <c r="L32" i="205"/>
  <c r="K32" i="205"/>
  <c r="J32" i="205"/>
  <c r="I32" i="205"/>
  <c r="H32" i="205"/>
  <c r="G32" i="205"/>
  <c r="F32" i="205"/>
  <c r="O31" i="205"/>
  <c r="N31" i="205"/>
  <c r="M31" i="205"/>
  <c r="L31" i="205"/>
  <c r="K31" i="205"/>
  <c r="J31" i="205"/>
  <c r="I31" i="205"/>
  <c r="H31" i="205"/>
  <c r="G31" i="205"/>
  <c r="F31" i="205"/>
  <c r="O30" i="205"/>
  <c r="N30" i="205"/>
  <c r="M30" i="205"/>
  <c r="L30" i="205"/>
  <c r="K30" i="205"/>
  <c r="J30" i="205"/>
  <c r="I30" i="205"/>
  <c r="H30" i="205"/>
  <c r="G30" i="205"/>
  <c r="F30" i="205"/>
  <c r="O29" i="205"/>
  <c r="N29" i="205"/>
  <c r="M29" i="205"/>
  <c r="L29" i="205"/>
  <c r="K29" i="205"/>
  <c r="J29" i="205"/>
  <c r="I29" i="205"/>
  <c r="H29" i="205"/>
  <c r="G29" i="205"/>
  <c r="F29" i="205"/>
  <c r="O26" i="205"/>
  <c r="N26" i="205"/>
  <c r="M26" i="205"/>
  <c r="L26" i="205"/>
  <c r="K26" i="205"/>
  <c r="J26" i="205"/>
  <c r="I26" i="205"/>
  <c r="H26" i="205"/>
  <c r="G26" i="205"/>
  <c r="F26" i="205"/>
  <c r="F159" i="204"/>
  <c r="F158" i="204"/>
  <c r="N158" i="204" s="1"/>
  <c r="O158" i="204" s="1"/>
  <c r="F157" i="204"/>
  <c r="F156" i="204"/>
  <c r="F155" i="204"/>
  <c r="F154" i="204"/>
  <c r="N154" i="204" s="1"/>
  <c r="O154" i="204" s="1"/>
  <c r="F153" i="204"/>
  <c r="N152" i="204"/>
  <c r="O152" i="204" s="1"/>
  <c r="L152" i="204"/>
  <c r="M152" i="204" s="1"/>
  <c r="F152" i="204"/>
  <c r="F151" i="204"/>
  <c r="F150" i="204"/>
  <c r="F149" i="204"/>
  <c r="F148" i="204"/>
  <c r="N148" i="204" s="1"/>
  <c r="O148" i="204" s="1"/>
  <c r="F147" i="204"/>
  <c r="N146" i="204"/>
  <c r="O146" i="204" s="1"/>
  <c r="L146" i="204"/>
  <c r="M146" i="204" s="1"/>
  <c r="F146" i="204"/>
  <c r="F145" i="204"/>
  <c r="F144" i="204"/>
  <c r="F143" i="204"/>
  <c r="N142" i="204"/>
  <c r="O142" i="204" s="1"/>
  <c r="F142" i="204"/>
  <c r="F141" i="204"/>
  <c r="F140" i="204"/>
  <c r="L140" i="204" s="1"/>
  <c r="M140" i="204" s="1"/>
  <c r="F139" i="204"/>
  <c r="F138" i="204"/>
  <c r="F137" i="204"/>
  <c r="N136" i="204"/>
  <c r="O136" i="204" s="1"/>
  <c r="L136" i="204"/>
  <c r="M136" i="204" s="1"/>
  <c r="F136" i="204"/>
  <c r="J136" i="204" s="1"/>
  <c r="K136" i="204" s="1"/>
  <c r="N135" i="204"/>
  <c r="O135" i="204" s="1"/>
  <c r="L135" i="204"/>
  <c r="M135" i="204" s="1"/>
  <c r="G135" i="204"/>
  <c r="F135" i="204"/>
  <c r="F134" i="204"/>
  <c r="L134" i="204" s="1"/>
  <c r="M134" i="204" s="1"/>
  <c r="F133" i="204"/>
  <c r="L133" i="204" s="1"/>
  <c r="M133" i="204" s="1"/>
  <c r="F132" i="204"/>
  <c r="J132" i="204" s="1"/>
  <c r="K132" i="204" s="1"/>
  <c r="F131" i="204"/>
  <c r="G131" i="204" s="1"/>
  <c r="H130" i="204"/>
  <c r="G130" i="204"/>
  <c r="F130" i="204"/>
  <c r="J130" i="204" s="1"/>
  <c r="K130" i="204" s="1"/>
  <c r="F129" i="204"/>
  <c r="N129" i="204" s="1"/>
  <c r="O129" i="204" s="1"/>
  <c r="F128" i="204"/>
  <c r="N128" i="204" s="1"/>
  <c r="O128" i="204" s="1"/>
  <c r="F127" i="204"/>
  <c r="F126" i="204"/>
  <c r="J126" i="204" s="1"/>
  <c r="K126" i="204" s="1"/>
  <c r="F125" i="204"/>
  <c r="L125" i="204" s="1"/>
  <c r="M125" i="204" s="1"/>
  <c r="F124" i="204"/>
  <c r="J124" i="204" s="1"/>
  <c r="K124" i="204" s="1"/>
  <c r="F123" i="204"/>
  <c r="N123" i="204" s="1"/>
  <c r="O123" i="204" s="1"/>
  <c r="H122" i="204"/>
  <c r="G122" i="204"/>
  <c r="F122" i="204"/>
  <c r="J122" i="204" s="1"/>
  <c r="K122" i="204" s="1"/>
  <c r="F121" i="204"/>
  <c r="N121" i="204" s="1"/>
  <c r="O121" i="204" s="1"/>
  <c r="F120" i="204"/>
  <c r="N120" i="204" s="1"/>
  <c r="O120" i="204" s="1"/>
  <c r="F119" i="204"/>
  <c r="F118" i="204"/>
  <c r="J118" i="204" s="1"/>
  <c r="K118" i="204" s="1"/>
  <c r="F117" i="204"/>
  <c r="J117" i="204" s="1"/>
  <c r="K117" i="204" s="1"/>
  <c r="F116" i="204"/>
  <c r="P116" i="204" s="1"/>
  <c r="Q116" i="204" s="1"/>
  <c r="N115" i="204"/>
  <c r="O115" i="204" s="1"/>
  <c r="F115" i="204"/>
  <c r="L115" i="204" s="1"/>
  <c r="M115" i="204" s="1"/>
  <c r="F114" i="204"/>
  <c r="L114" i="204" s="1"/>
  <c r="M114" i="204" s="1"/>
  <c r="F113" i="204"/>
  <c r="F112" i="204"/>
  <c r="L112" i="204" s="1"/>
  <c r="M112" i="204" s="1"/>
  <c r="F111" i="204"/>
  <c r="N111" i="204" s="1"/>
  <c r="O111" i="204" s="1"/>
  <c r="L110" i="204"/>
  <c r="M110" i="204" s="1"/>
  <c r="J110" i="204"/>
  <c r="K110" i="204" s="1"/>
  <c r="F110" i="204"/>
  <c r="H110" i="204" s="1"/>
  <c r="N109" i="204"/>
  <c r="O109" i="204" s="1"/>
  <c r="M109" i="204"/>
  <c r="F109" i="204"/>
  <c r="L109" i="204" s="1"/>
  <c r="F108" i="204"/>
  <c r="J108" i="204" s="1"/>
  <c r="K108" i="204" s="1"/>
  <c r="J107" i="204"/>
  <c r="K107" i="204" s="1"/>
  <c r="F107" i="204"/>
  <c r="F106" i="204"/>
  <c r="G106" i="204" s="1"/>
  <c r="N105" i="204"/>
  <c r="O105" i="204" s="1"/>
  <c r="L105" i="204"/>
  <c r="M105" i="204" s="1"/>
  <c r="F105" i="204"/>
  <c r="J105" i="204" s="1"/>
  <c r="K105" i="204" s="1"/>
  <c r="F104" i="204"/>
  <c r="N104" i="204" s="1"/>
  <c r="O104" i="204" s="1"/>
  <c r="F103" i="204"/>
  <c r="L103" i="204" s="1"/>
  <c r="M103" i="204" s="1"/>
  <c r="G102" i="204"/>
  <c r="F102" i="204"/>
  <c r="F101" i="204"/>
  <c r="G101" i="204" s="1"/>
  <c r="N100" i="204"/>
  <c r="O100" i="204" s="1"/>
  <c r="F100" i="204"/>
  <c r="G100" i="204" s="1"/>
  <c r="F99" i="204"/>
  <c r="H99" i="204" s="1"/>
  <c r="F98" i="204"/>
  <c r="N98" i="204" s="1"/>
  <c r="O98" i="204" s="1"/>
  <c r="N97" i="204"/>
  <c r="O97" i="204" s="1"/>
  <c r="F97" i="204"/>
  <c r="L97" i="204" s="1"/>
  <c r="M97" i="204" s="1"/>
  <c r="F96" i="204"/>
  <c r="J96" i="204" s="1"/>
  <c r="K96" i="204" s="1"/>
  <c r="F95" i="204"/>
  <c r="L95" i="204" s="1"/>
  <c r="M95" i="204" s="1"/>
  <c r="F94" i="204"/>
  <c r="J94" i="204" s="1"/>
  <c r="K94" i="204" s="1"/>
  <c r="N93" i="204"/>
  <c r="O93" i="204" s="1"/>
  <c r="F93" i="204"/>
  <c r="L92" i="204"/>
  <c r="M92" i="204" s="1"/>
  <c r="J92" i="204"/>
  <c r="K92" i="204" s="1"/>
  <c r="F92" i="204"/>
  <c r="N92" i="204" s="1"/>
  <c r="O92" i="204" s="1"/>
  <c r="F91" i="204"/>
  <c r="N91" i="204" s="1"/>
  <c r="O91" i="204" s="1"/>
  <c r="F90" i="204"/>
  <c r="H90" i="204" s="1"/>
  <c r="F89" i="204"/>
  <c r="N88" i="204"/>
  <c r="O88" i="204" s="1"/>
  <c r="F88" i="204"/>
  <c r="J88" i="204" s="1"/>
  <c r="K88" i="204" s="1"/>
  <c r="F87" i="204"/>
  <c r="L87" i="204" s="1"/>
  <c r="M87" i="204" s="1"/>
  <c r="L86" i="204"/>
  <c r="M86" i="204" s="1"/>
  <c r="J86" i="204"/>
  <c r="K86" i="204" s="1"/>
  <c r="G86" i="204"/>
  <c r="F86" i="204"/>
  <c r="N86" i="204" s="1"/>
  <c r="O86" i="204" s="1"/>
  <c r="F85" i="204"/>
  <c r="G85" i="204" s="1"/>
  <c r="N84" i="204"/>
  <c r="O84" i="204" s="1"/>
  <c r="L84" i="204"/>
  <c r="M84" i="204" s="1"/>
  <c r="F84" i="204"/>
  <c r="J84" i="204" s="1"/>
  <c r="K84" i="204" s="1"/>
  <c r="F83" i="204"/>
  <c r="G83" i="204" s="1"/>
  <c r="F82" i="204"/>
  <c r="L82" i="204" s="1"/>
  <c r="M82" i="204" s="1"/>
  <c r="N81" i="204"/>
  <c r="O81" i="204" s="1"/>
  <c r="L81" i="204"/>
  <c r="M81" i="204" s="1"/>
  <c r="F81" i="204"/>
  <c r="J81" i="204" s="1"/>
  <c r="K81" i="204" s="1"/>
  <c r="F80" i="204"/>
  <c r="N80" i="204" s="1"/>
  <c r="O80" i="204" s="1"/>
  <c r="M79" i="204"/>
  <c r="F79" i="204"/>
  <c r="L79" i="204" s="1"/>
  <c r="F78" i="204"/>
  <c r="J78" i="204" s="1"/>
  <c r="K78" i="204" s="1"/>
  <c r="L77" i="204"/>
  <c r="M77" i="204" s="1"/>
  <c r="K77" i="204"/>
  <c r="F77" i="204"/>
  <c r="J77" i="204" s="1"/>
  <c r="P76" i="204"/>
  <c r="Q76" i="204" s="1"/>
  <c r="N76" i="204"/>
  <c r="O76" i="204" s="1"/>
  <c r="L76" i="204"/>
  <c r="M76" i="204" s="1"/>
  <c r="J76" i="204"/>
  <c r="K76" i="204" s="1"/>
  <c r="F76" i="204"/>
  <c r="H76" i="204" s="1"/>
  <c r="I76" i="204" s="1"/>
  <c r="F75" i="204"/>
  <c r="F74" i="204"/>
  <c r="G74" i="204" s="1"/>
  <c r="N73" i="204"/>
  <c r="O73" i="204" s="1"/>
  <c r="F73" i="204"/>
  <c r="G73" i="204" s="1"/>
  <c r="L72" i="204"/>
  <c r="M72" i="204" s="1"/>
  <c r="J72" i="204"/>
  <c r="K72" i="204" s="1"/>
  <c r="F72" i="204"/>
  <c r="G72" i="204" s="1"/>
  <c r="F71" i="204"/>
  <c r="G71" i="204" s="1"/>
  <c r="F70" i="204"/>
  <c r="G70" i="204" s="1"/>
  <c r="F69" i="204"/>
  <c r="L69" i="204" s="1"/>
  <c r="M69" i="204" s="1"/>
  <c r="F68" i="204"/>
  <c r="L68" i="204" s="1"/>
  <c r="M68" i="204" s="1"/>
  <c r="F67" i="204"/>
  <c r="G67" i="204" s="1"/>
  <c r="F66" i="204"/>
  <c r="J66" i="204" s="1"/>
  <c r="K66" i="204" s="1"/>
  <c r="N65" i="204"/>
  <c r="O65" i="204" s="1"/>
  <c r="L65" i="204"/>
  <c r="M65" i="204" s="1"/>
  <c r="J65" i="204"/>
  <c r="K65" i="204" s="1"/>
  <c r="I65" i="204"/>
  <c r="H65" i="204"/>
  <c r="P65" i="204" s="1"/>
  <c r="Q65" i="204" s="1"/>
  <c r="F65" i="204"/>
  <c r="G65" i="204" s="1"/>
  <c r="F64" i="204"/>
  <c r="F63" i="204"/>
  <c r="L62" i="204"/>
  <c r="M62" i="204" s="1"/>
  <c r="F62" i="204"/>
  <c r="G62" i="204" s="1"/>
  <c r="F61" i="204"/>
  <c r="G61" i="204" s="1"/>
  <c r="L60" i="204"/>
  <c r="M60" i="204" s="1"/>
  <c r="J60" i="204"/>
  <c r="K60" i="204" s="1"/>
  <c r="F60" i="204"/>
  <c r="G60" i="204" s="1"/>
  <c r="F59" i="204"/>
  <c r="G59" i="204" s="1"/>
  <c r="F58" i="204"/>
  <c r="G58" i="204" s="1"/>
  <c r="F57" i="204"/>
  <c r="H57" i="204" s="1"/>
  <c r="L56" i="204"/>
  <c r="M56" i="204" s="1"/>
  <c r="F56" i="204"/>
  <c r="F55" i="204"/>
  <c r="J55" i="204" s="1"/>
  <c r="K55" i="204" s="1"/>
  <c r="J54" i="204"/>
  <c r="K54" i="204" s="1"/>
  <c r="H54" i="204"/>
  <c r="F54" i="204"/>
  <c r="F53" i="204"/>
  <c r="J53" i="204" s="1"/>
  <c r="K53" i="204" s="1"/>
  <c r="F52" i="204"/>
  <c r="H52" i="204" s="1"/>
  <c r="F51" i="204"/>
  <c r="H51" i="204" s="1"/>
  <c r="F50" i="204"/>
  <c r="J50" i="204" s="1"/>
  <c r="K50" i="204" s="1"/>
  <c r="J49" i="204"/>
  <c r="K49" i="204" s="1"/>
  <c r="F49" i="204"/>
  <c r="H49" i="204" s="1"/>
  <c r="F38" i="204"/>
  <c r="F37" i="204"/>
  <c r="J37" i="204" s="1"/>
  <c r="K37" i="204" s="1"/>
  <c r="F36" i="204"/>
  <c r="H36" i="204" s="1"/>
  <c r="F35" i="204"/>
  <c r="H35" i="204" s="1"/>
  <c r="F34" i="204"/>
  <c r="F33" i="204"/>
  <c r="J33" i="204" s="1"/>
  <c r="K33" i="204" s="1"/>
  <c r="J32" i="204"/>
  <c r="K32" i="204" s="1"/>
  <c r="F32" i="204"/>
  <c r="H32" i="204" s="1"/>
  <c r="F31" i="204"/>
  <c r="J31" i="204" s="1"/>
  <c r="K31" i="204" s="1"/>
  <c r="F30" i="204"/>
  <c r="H30" i="204" s="1"/>
  <c r="F27" i="204"/>
  <c r="P27" i="204" s="1"/>
  <c r="Q27" i="204" s="1"/>
  <c r="F159" i="203"/>
  <c r="F158" i="203"/>
  <c r="J158" i="203" s="1"/>
  <c r="K158" i="203" s="1"/>
  <c r="F157" i="203"/>
  <c r="L157" i="203" s="1"/>
  <c r="M157" i="203" s="1"/>
  <c r="N156" i="203"/>
  <c r="O156" i="203" s="1"/>
  <c r="L156" i="203"/>
  <c r="M156" i="203" s="1"/>
  <c r="F156" i="203"/>
  <c r="J156" i="203" s="1"/>
  <c r="K156" i="203" s="1"/>
  <c r="F155" i="203"/>
  <c r="L155" i="203" s="1"/>
  <c r="M155" i="203" s="1"/>
  <c r="F154" i="203"/>
  <c r="F153" i="203"/>
  <c r="G153" i="203" s="1"/>
  <c r="N152" i="203"/>
  <c r="O152" i="203" s="1"/>
  <c r="F152" i="203"/>
  <c r="J152" i="203" s="1"/>
  <c r="K152" i="203" s="1"/>
  <c r="F151" i="203"/>
  <c r="J151" i="203" s="1"/>
  <c r="K151" i="203" s="1"/>
  <c r="N150" i="203"/>
  <c r="O150" i="203" s="1"/>
  <c r="L150" i="203"/>
  <c r="M150" i="203" s="1"/>
  <c r="K150" i="203"/>
  <c r="F150" i="203"/>
  <c r="J150" i="203" s="1"/>
  <c r="H149" i="203"/>
  <c r="F149" i="203"/>
  <c r="F148" i="203"/>
  <c r="H148" i="203" s="1"/>
  <c r="P148" i="203" s="1"/>
  <c r="Q148" i="203" s="1"/>
  <c r="F147" i="203"/>
  <c r="Q146" i="203"/>
  <c r="N146" i="203"/>
  <c r="O146" i="203" s="1"/>
  <c r="L146" i="203"/>
  <c r="M146" i="203" s="1"/>
  <c r="H146" i="203"/>
  <c r="P146" i="203" s="1"/>
  <c r="G146" i="203"/>
  <c r="F146" i="203"/>
  <c r="J146" i="203" s="1"/>
  <c r="K146" i="203" s="1"/>
  <c r="F145" i="203"/>
  <c r="H145" i="203" s="1"/>
  <c r="N144" i="203"/>
  <c r="O144" i="203" s="1"/>
  <c r="F144" i="203"/>
  <c r="L144" i="203" s="1"/>
  <c r="M144" i="203" s="1"/>
  <c r="F143" i="203"/>
  <c r="N143" i="203" s="1"/>
  <c r="O143" i="203" s="1"/>
  <c r="F142" i="203"/>
  <c r="N141" i="203"/>
  <c r="O141" i="203" s="1"/>
  <c r="J141" i="203"/>
  <c r="K141" i="203" s="1"/>
  <c r="F141" i="203"/>
  <c r="F140" i="203"/>
  <c r="J140" i="203" s="1"/>
  <c r="K140" i="203" s="1"/>
  <c r="F139" i="203"/>
  <c r="F138" i="203"/>
  <c r="N138" i="203" s="1"/>
  <c r="O138" i="203" s="1"/>
  <c r="F137" i="203"/>
  <c r="L136" i="203"/>
  <c r="M136" i="203" s="1"/>
  <c r="H136" i="203"/>
  <c r="P136" i="203" s="1"/>
  <c r="Q136" i="203" s="1"/>
  <c r="F136" i="203"/>
  <c r="G136" i="203" s="1"/>
  <c r="F135" i="203"/>
  <c r="F134" i="203"/>
  <c r="J134" i="203" s="1"/>
  <c r="K134" i="203" s="1"/>
  <c r="N133" i="203"/>
  <c r="O133" i="203" s="1"/>
  <c r="L133" i="203"/>
  <c r="M133" i="203" s="1"/>
  <c r="J133" i="203"/>
  <c r="K133" i="203" s="1"/>
  <c r="G133" i="203"/>
  <c r="F133" i="203"/>
  <c r="H133" i="203" s="1"/>
  <c r="F132" i="203"/>
  <c r="N132" i="203" s="1"/>
  <c r="O132" i="203" s="1"/>
  <c r="L131" i="203"/>
  <c r="M131" i="203" s="1"/>
  <c r="F131" i="203"/>
  <c r="N131" i="203" s="1"/>
  <c r="O131" i="203" s="1"/>
  <c r="F130" i="203"/>
  <c r="F129" i="203"/>
  <c r="L129" i="203" s="1"/>
  <c r="M129" i="203" s="1"/>
  <c r="F128" i="203"/>
  <c r="H128" i="203" s="1"/>
  <c r="F127" i="203"/>
  <c r="Q126" i="203"/>
  <c r="N126" i="203"/>
  <c r="O126" i="203" s="1"/>
  <c r="L126" i="203"/>
  <c r="M126" i="203" s="1"/>
  <c r="H126" i="203"/>
  <c r="P126" i="203" s="1"/>
  <c r="F126" i="203"/>
  <c r="J126" i="203" s="1"/>
  <c r="K126" i="203" s="1"/>
  <c r="N125" i="203"/>
  <c r="O125" i="203" s="1"/>
  <c r="L125" i="203"/>
  <c r="M125" i="203" s="1"/>
  <c r="J125" i="203"/>
  <c r="K125" i="203" s="1"/>
  <c r="H125" i="203"/>
  <c r="P125" i="203" s="1"/>
  <c r="Q125" i="203" s="1"/>
  <c r="G125" i="203"/>
  <c r="F125" i="203"/>
  <c r="H124" i="203"/>
  <c r="P124" i="203" s="1"/>
  <c r="Q124" i="203" s="1"/>
  <c r="G124" i="203"/>
  <c r="F124" i="203"/>
  <c r="N124" i="203" s="1"/>
  <c r="O124" i="203" s="1"/>
  <c r="F123" i="203"/>
  <c r="F122" i="203"/>
  <c r="F121" i="203"/>
  <c r="L121" i="203" s="1"/>
  <c r="M121" i="203" s="1"/>
  <c r="L120" i="203"/>
  <c r="M120" i="203" s="1"/>
  <c r="F120" i="203"/>
  <c r="G120" i="203" s="1"/>
  <c r="F119" i="203"/>
  <c r="L119" i="203" s="1"/>
  <c r="M119" i="203" s="1"/>
  <c r="F118" i="203"/>
  <c r="N118" i="203" s="1"/>
  <c r="O118" i="203" s="1"/>
  <c r="N117" i="203"/>
  <c r="O117" i="203" s="1"/>
  <c r="L117" i="203"/>
  <c r="M117" i="203" s="1"/>
  <c r="J117" i="203"/>
  <c r="K117" i="203" s="1"/>
  <c r="H117" i="203"/>
  <c r="P117" i="203" s="1"/>
  <c r="Q117" i="203" s="1"/>
  <c r="G117" i="203"/>
  <c r="F117" i="203"/>
  <c r="F116" i="203"/>
  <c r="F115" i="203"/>
  <c r="F114" i="203"/>
  <c r="F113" i="203"/>
  <c r="N112" i="203"/>
  <c r="O112" i="203" s="1"/>
  <c r="J112" i="203"/>
  <c r="K112" i="203" s="1"/>
  <c r="F112" i="203"/>
  <c r="L111" i="203"/>
  <c r="M111" i="203" s="1"/>
  <c r="J111" i="203"/>
  <c r="K111" i="203" s="1"/>
  <c r="H111" i="203"/>
  <c r="P111" i="203" s="1"/>
  <c r="Q111" i="203" s="1"/>
  <c r="G111" i="203"/>
  <c r="F111" i="203"/>
  <c r="N111" i="203" s="1"/>
  <c r="O111" i="203" s="1"/>
  <c r="F110" i="203"/>
  <c r="H110" i="203" s="1"/>
  <c r="P110" i="203" s="1"/>
  <c r="Q110" i="203" s="1"/>
  <c r="J109" i="203"/>
  <c r="K109" i="203" s="1"/>
  <c r="F109" i="203"/>
  <c r="H109" i="203" s="1"/>
  <c r="F108" i="203"/>
  <c r="N108" i="203" s="1"/>
  <c r="O108" i="203" s="1"/>
  <c r="N107" i="203"/>
  <c r="O107" i="203" s="1"/>
  <c r="L107" i="203"/>
  <c r="M107" i="203" s="1"/>
  <c r="F107" i="203"/>
  <c r="L106" i="203"/>
  <c r="M106" i="203" s="1"/>
  <c r="J106" i="203"/>
  <c r="K106" i="203" s="1"/>
  <c r="H106" i="203"/>
  <c r="P106" i="203" s="1"/>
  <c r="Q106" i="203" s="1"/>
  <c r="G106" i="203"/>
  <c r="F106" i="203"/>
  <c r="N106" i="203" s="1"/>
  <c r="O106" i="203" s="1"/>
  <c r="J105" i="203"/>
  <c r="K105" i="203" s="1"/>
  <c r="F105" i="203"/>
  <c r="F104" i="203"/>
  <c r="N103" i="203"/>
  <c r="O103" i="203" s="1"/>
  <c r="F103" i="203"/>
  <c r="H103" i="203" s="1"/>
  <c r="H102" i="203"/>
  <c r="F102" i="203"/>
  <c r="G102" i="203" s="1"/>
  <c r="F101" i="203"/>
  <c r="L101" i="203" s="1"/>
  <c r="M101" i="203" s="1"/>
  <c r="N100" i="203"/>
  <c r="O100" i="203" s="1"/>
  <c r="H100" i="203"/>
  <c r="F100" i="203"/>
  <c r="F99" i="203"/>
  <c r="F98" i="203"/>
  <c r="J98" i="203" s="1"/>
  <c r="K98" i="203" s="1"/>
  <c r="O97" i="203"/>
  <c r="L97" i="203"/>
  <c r="M97" i="203" s="1"/>
  <c r="F97" i="203"/>
  <c r="N97" i="203" s="1"/>
  <c r="F96" i="203"/>
  <c r="F95" i="203"/>
  <c r="N95" i="203" s="1"/>
  <c r="O95" i="203" s="1"/>
  <c r="N94" i="203"/>
  <c r="O94" i="203" s="1"/>
  <c r="L94" i="203"/>
  <c r="M94" i="203" s="1"/>
  <c r="J94" i="203"/>
  <c r="K94" i="203" s="1"/>
  <c r="F94" i="203"/>
  <c r="H94" i="203" s="1"/>
  <c r="F93" i="203"/>
  <c r="F92" i="203"/>
  <c r="J92" i="203" s="1"/>
  <c r="K92" i="203" s="1"/>
  <c r="N91" i="203"/>
  <c r="O91" i="203" s="1"/>
  <c r="L91" i="203"/>
  <c r="M91" i="203" s="1"/>
  <c r="J91" i="203"/>
  <c r="K91" i="203" s="1"/>
  <c r="I91" i="203"/>
  <c r="H91" i="203"/>
  <c r="P91" i="203" s="1"/>
  <c r="Q91" i="203" s="1"/>
  <c r="G91" i="203"/>
  <c r="F91" i="203"/>
  <c r="F90" i="203"/>
  <c r="G90" i="203" s="1"/>
  <c r="H89" i="203"/>
  <c r="P89" i="203" s="1"/>
  <c r="Q89" i="203" s="1"/>
  <c r="F89" i="203"/>
  <c r="N89" i="203" s="1"/>
  <c r="O89" i="203" s="1"/>
  <c r="F88" i="203"/>
  <c r="F87" i="203"/>
  <c r="F86" i="203"/>
  <c r="N86" i="203" s="1"/>
  <c r="O86" i="203" s="1"/>
  <c r="L85" i="203"/>
  <c r="M85" i="203" s="1"/>
  <c r="J85" i="203"/>
  <c r="K85" i="203" s="1"/>
  <c r="F85" i="203"/>
  <c r="N85" i="203" s="1"/>
  <c r="O85" i="203" s="1"/>
  <c r="F84" i="203"/>
  <c r="G84" i="203" s="1"/>
  <c r="F83" i="203"/>
  <c r="F82" i="203"/>
  <c r="N82" i="203" s="1"/>
  <c r="O82" i="203" s="1"/>
  <c r="F81" i="203"/>
  <c r="J81" i="203" s="1"/>
  <c r="K81" i="203" s="1"/>
  <c r="F80" i="203"/>
  <c r="N79" i="203"/>
  <c r="O79" i="203" s="1"/>
  <c r="J79" i="203"/>
  <c r="K79" i="203" s="1"/>
  <c r="F79" i="203"/>
  <c r="L79" i="203" s="1"/>
  <c r="M79" i="203" s="1"/>
  <c r="L78" i="203"/>
  <c r="M78" i="203" s="1"/>
  <c r="J78" i="203"/>
  <c r="K78" i="203" s="1"/>
  <c r="H78" i="203"/>
  <c r="P78" i="203" s="1"/>
  <c r="Q78" i="203" s="1"/>
  <c r="F78" i="203"/>
  <c r="N78" i="203" s="1"/>
  <c r="O78" i="203" s="1"/>
  <c r="F77" i="203"/>
  <c r="N77" i="203" s="1"/>
  <c r="O77" i="203" s="1"/>
  <c r="F76" i="203"/>
  <c r="H76" i="203" s="1"/>
  <c r="F75" i="203"/>
  <c r="G74" i="203"/>
  <c r="F74" i="203"/>
  <c r="N73" i="203"/>
  <c r="O73" i="203" s="1"/>
  <c r="L73" i="203"/>
  <c r="M73" i="203" s="1"/>
  <c r="F73" i="203"/>
  <c r="H73" i="203" s="1"/>
  <c r="N72" i="203"/>
  <c r="O72" i="203" s="1"/>
  <c r="L72" i="203"/>
  <c r="M72" i="203" s="1"/>
  <c r="J72" i="203"/>
  <c r="K72" i="203" s="1"/>
  <c r="F72" i="203"/>
  <c r="H72" i="203" s="1"/>
  <c r="F71" i="203"/>
  <c r="L71" i="203" s="1"/>
  <c r="M71" i="203" s="1"/>
  <c r="F70" i="203"/>
  <c r="J69" i="203"/>
  <c r="K69" i="203" s="1"/>
  <c r="F69" i="203"/>
  <c r="N69" i="203" s="1"/>
  <c r="O69" i="203" s="1"/>
  <c r="N68" i="203"/>
  <c r="O68" i="203" s="1"/>
  <c r="L68" i="203"/>
  <c r="M68" i="203" s="1"/>
  <c r="J68" i="203"/>
  <c r="K68" i="203" s="1"/>
  <c r="H68" i="203"/>
  <c r="P68" i="203" s="1"/>
  <c r="Q68" i="203" s="1"/>
  <c r="G68" i="203"/>
  <c r="F68" i="203"/>
  <c r="F67" i="203"/>
  <c r="N66" i="203"/>
  <c r="O66" i="203" s="1"/>
  <c r="F66" i="203"/>
  <c r="J66" i="203" s="1"/>
  <c r="K66" i="203" s="1"/>
  <c r="F65" i="203"/>
  <c r="F64" i="203"/>
  <c r="F63" i="203"/>
  <c r="L63" i="203" s="1"/>
  <c r="M63" i="203" s="1"/>
  <c r="F62" i="203"/>
  <c r="N62" i="203" s="1"/>
  <c r="O62" i="203" s="1"/>
  <c r="F61" i="203"/>
  <c r="G60" i="203"/>
  <c r="F60" i="203"/>
  <c r="F59" i="203"/>
  <c r="N59" i="203" s="1"/>
  <c r="O59" i="203" s="1"/>
  <c r="L58" i="203"/>
  <c r="M58" i="203" s="1"/>
  <c r="J58" i="203"/>
  <c r="K58" i="203" s="1"/>
  <c r="H58" i="203"/>
  <c r="P58" i="203" s="1"/>
  <c r="Q58" i="203" s="1"/>
  <c r="G58" i="203"/>
  <c r="F58" i="203"/>
  <c r="N58" i="203" s="1"/>
  <c r="O58" i="203" s="1"/>
  <c r="L57" i="203"/>
  <c r="M57" i="203" s="1"/>
  <c r="J57" i="203"/>
  <c r="K57" i="203" s="1"/>
  <c r="F57" i="203"/>
  <c r="N57" i="203" s="1"/>
  <c r="O57" i="203" s="1"/>
  <c r="F56" i="203"/>
  <c r="N56" i="203" s="1"/>
  <c r="O56" i="203" s="1"/>
  <c r="O55" i="203"/>
  <c r="L55" i="203"/>
  <c r="M55" i="203" s="1"/>
  <c r="J55" i="203"/>
  <c r="K55" i="203" s="1"/>
  <c r="F55" i="203"/>
  <c r="N55" i="203" s="1"/>
  <c r="L54" i="203"/>
  <c r="M54" i="203" s="1"/>
  <c r="J54" i="203"/>
  <c r="K54" i="203" s="1"/>
  <c r="F54" i="203"/>
  <c r="N54" i="203" s="1"/>
  <c r="O54" i="203" s="1"/>
  <c r="F53" i="203"/>
  <c r="N52" i="203"/>
  <c r="O52" i="203" s="1"/>
  <c r="H52" i="203"/>
  <c r="P52" i="203" s="1"/>
  <c r="Q52" i="203" s="1"/>
  <c r="F52" i="203"/>
  <c r="L52" i="203" s="1"/>
  <c r="M52" i="203" s="1"/>
  <c r="F51" i="203"/>
  <c r="H51" i="203" s="1"/>
  <c r="F50" i="203"/>
  <c r="G39" i="203"/>
  <c r="F39" i="203"/>
  <c r="F38" i="203"/>
  <c r="L38" i="203" s="1"/>
  <c r="M38" i="203" s="1"/>
  <c r="F37" i="203"/>
  <c r="H37" i="203" s="1"/>
  <c r="N36" i="203"/>
  <c r="O36" i="203" s="1"/>
  <c r="L36" i="203"/>
  <c r="M36" i="203" s="1"/>
  <c r="J36" i="203"/>
  <c r="K36" i="203" s="1"/>
  <c r="H36" i="203"/>
  <c r="P36" i="203" s="1"/>
  <c r="Q36" i="203" s="1"/>
  <c r="G36" i="203"/>
  <c r="F36" i="203"/>
  <c r="F35" i="203"/>
  <c r="N34" i="203"/>
  <c r="O34" i="203" s="1"/>
  <c r="F34" i="203"/>
  <c r="L34" i="203" s="1"/>
  <c r="M34" i="203" s="1"/>
  <c r="F33" i="203"/>
  <c r="N32" i="203"/>
  <c r="O32" i="203" s="1"/>
  <c r="M32" i="203"/>
  <c r="L32" i="203"/>
  <c r="H32" i="203"/>
  <c r="P32" i="203" s="1"/>
  <c r="Q32" i="203" s="1"/>
  <c r="G32" i="203"/>
  <c r="F32" i="203"/>
  <c r="J32" i="203" s="1"/>
  <c r="K32" i="203" s="1"/>
  <c r="F31" i="203"/>
  <c r="H31" i="203" s="1"/>
  <c r="P31" i="203" s="1"/>
  <c r="Q31" i="203" s="1"/>
  <c r="F30" i="203"/>
  <c r="N27" i="203"/>
  <c r="O27" i="203" s="1"/>
  <c r="F27" i="203"/>
  <c r="J27" i="203" s="1"/>
  <c r="K27" i="203" s="1"/>
  <c r="Q161" i="202"/>
  <c r="O161" i="202"/>
  <c r="M161" i="202"/>
  <c r="K161" i="202"/>
  <c r="I161" i="202"/>
  <c r="G161" i="202"/>
  <c r="Q160" i="202"/>
  <c r="P160" i="202"/>
  <c r="O160" i="202"/>
  <c r="N160" i="202"/>
  <c r="M160" i="202"/>
  <c r="L160" i="202"/>
  <c r="K160" i="202"/>
  <c r="J160" i="202"/>
  <c r="I160" i="202"/>
  <c r="H160" i="202"/>
  <c r="G160" i="202"/>
  <c r="F160" i="202"/>
  <c r="Q159" i="202"/>
  <c r="P159" i="202"/>
  <c r="O159" i="202"/>
  <c r="N159" i="202"/>
  <c r="M159" i="202"/>
  <c r="L159" i="202"/>
  <c r="K159" i="202"/>
  <c r="J159" i="202"/>
  <c r="I159" i="202"/>
  <c r="H159" i="202"/>
  <c r="G159" i="202"/>
  <c r="F159" i="202"/>
  <c r="Q158" i="202"/>
  <c r="P158" i="202"/>
  <c r="O158" i="202"/>
  <c r="N158" i="202"/>
  <c r="M158" i="202"/>
  <c r="L158" i="202"/>
  <c r="K158" i="202"/>
  <c r="J158" i="202"/>
  <c r="I158" i="202"/>
  <c r="H158" i="202"/>
  <c r="G158" i="202"/>
  <c r="F158" i="202"/>
  <c r="Q157" i="202"/>
  <c r="P157" i="202"/>
  <c r="O157" i="202"/>
  <c r="N157" i="202"/>
  <c r="M157" i="202"/>
  <c r="L157" i="202"/>
  <c r="K157" i="202"/>
  <c r="J157" i="202"/>
  <c r="I157" i="202"/>
  <c r="H157" i="202"/>
  <c r="G157" i="202"/>
  <c r="F157" i="202"/>
  <c r="Q156" i="202"/>
  <c r="P156" i="202"/>
  <c r="O156" i="202"/>
  <c r="N156" i="202"/>
  <c r="M156" i="202"/>
  <c r="L156" i="202"/>
  <c r="K156" i="202"/>
  <c r="J156" i="202"/>
  <c r="I156" i="202"/>
  <c r="H156" i="202"/>
  <c r="G156" i="202"/>
  <c r="F156" i="202"/>
  <c r="Q155" i="202"/>
  <c r="P155" i="202"/>
  <c r="O155" i="202"/>
  <c r="N155" i="202"/>
  <c r="M155" i="202"/>
  <c r="L155" i="202"/>
  <c r="K155" i="202"/>
  <c r="J155" i="202"/>
  <c r="I155" i="202"/>
  <c r="H155" i="202"/>
  <c r="G155" i="202"/>
  <c r="F155" i="202"/>
  <c r="Q154" i="202"/>
  <c r="P154" i="202"/>
  <c r="O154" i="202"/>
  <c r="N154" i="202"/>
  <c r="M154" i="202"/>
  <c r="L154" i="202"/>
  <c r="K154" i="202"/>
  <c r="J154" i="202"/>
  <c r="I154" i="202"/>
  <c r="H154" i="202"/>
  <c r="G154" i="202"/>
  <c r="F154" i="202"/>
  <c r="Q153" i="202"/>
  <c r="P153" i="202"/>
  <c r="O153" i="202"/>
  <c r="N153" i="202"/>
  <c r="M153" i="202"/>
  <c r="L153" i="202"/>
  <c r="K153" i="202"/>
  <c r="J153" i="202"/>
  <c r="I153" i="202"/>
  <c r="H153" i="202"/>
  <c r="G153" i="202"/>
  <c r="F153" i="202"/>
  <c r="Q152" i="202"/>
  <c r="P152" i="202"/>
  <c r="O152" i="202"/>
  <c r="N152" i="202"/>
  <c r="M152" i="202"/>
  <c r="L152" i="202"/>
  <c r="K152" i="202"/>
  <c r="J152" i="202"/>
  <c r="I152" i="202"/>
  <c r="H152" i="202"/>
  <c r="G152" i="202"/>
  <c r="F152" i="202"/>
  <c r="Q151" i="202"/>
  <c r="P151" i="202"/>
  <c r="O151" i="202"/>
  <c r="N151" i="202"/>
  <c r="M151" i="202"/>
  <c r="L151" i="202"/>
  <c r="K151" i="202"/>
  <c r="J151" i="202"/>
  <c r="I151" i="202"/>
  <c r="H151" i="202"/>
  <c r="G151" i="202"/>
  <c r="F151" i="202"/>
  <c r="Q150" i="202"/>
  <c r="P150" i="202"/>
  <c r="O150" i="202"/>
  <c r="N150" i="202"/>
  <c r="M150" i="202"/>
  <c r="L150" i="202"/>
  <c r="K150" i="202"/>
  <c r="J150" i="202"/>
  <c r="I150" i="202"/>
  <c r="H150" i="202"/>
  <c r="G150" i="202"/>
  <c r="F150" i="202"/>
  <c r="Q149" i="202"/>
  <c r="P149" i="202"/>
  <c r="O149" i="202"/>
  <c r="N149" i="202"/>
  <c r="M149" i="202"/>
  <c r="L149" i="202"/>
  <c r="K149" i="202"/>
  <c r="J149" i="202"/>
  <c r="I149" i="202"/>
  <c r="H149" i="202"/>
  <c r="G149" i="202"/>
  <c r="F149" i="202"/>
  <c r="Q148" i="202"/>
  <c r="P148" i="202"/>
  <c r="O148" i="202"/>
  <c r="N148" i="202"/>
  <c r="M148" i="202"/>
  <c r="L148" i="202"/>
  <c r="K148" i="202"/>
  <c r="J148" i="202"/>
  <c r="I148" i="202"/>
  <c r="H148" i="202"/>
  <c r="G148" i="202"/>
  <c r="F148" i="202"/>
  <c r="Q147" i="202"/>
  <c r="P147" i="202"/>
  <c r="O147" i="202"/>
  <c r="N147" i="202"/>
  <c r="M147" i="202"/>
  <c r="L147" i="202"/>
  <c r="K147" i="202"/>
  <c r="J147" i="202"/>
  <c r="I147" i="202"/>
  <c r="H147" i="202"/>
  <c r="G147" i="202"/>
  <c r="F147" i="202"/>
  <c r="Q146" i="202"/>
  <c r="P146" i="202"/>
  <c r="O146" i="202"/>
  <c r="N146" i="202"/>
  <c r="M146" i="202"/>
  <c r="L146" i="202"/>
  <c r="K146" i="202"/>
  <c r="J146" i="202"/>
  <c r="I146" i="202"/>
  <c r="H146" i="202"/>
  <c r="G146" i="202"/>
  <c r="F146" i="202"/>
  <c r="Q145" i="202"/>
  <c r="P145" i="202"/>
  <c r="O145" i="202"/>
  <c r="N145" i="202"/>
  <c r="M145" i="202"/>
  <c r="L145" i="202"/>
  <c r="K145" i="202"/>
  <c r="J145" i="202"/>
  <c r="I145" i="202"/>
  <c r="H145" i="202"/>
  <c r="G145" i="202"/>
  <c r="F145" i="202"/>
  <c r="Q144" i="202"/>
  <c r="P144" i="202"/>
  <c r="O144" i="202"/>
  <c r="N144" i="202"/>
  <c r="M144" i="202"/>
  <c r="L144" i="202"/>
  <c r="K144" i="202"/>
  <c r="J144" i="202"/>
  <c r="I144" i="202"/>
  <c r="H144" i="202"/>
  <c r="G144" i="202"/>
  <c r="F144" i="202"/>
  <c r="Q143" i="202"/>
  <c r="P143" i="202"/>
  <c r="O143" i="202"/>
  <c r="N143" i="202"/>
  <c r="M143" i="202"/>
  <c r="L143" i="202"/>
  <c r="K143" i="202"/>
  <c r="J143" i="202"/>
  <c r="I143" i="202"/>
  <c r="H143" i="202"/>
  <c r="G143" i="202"/>
  <c r="F143" i="202"/>
  <c r="Q142" i="202"/>
  <c r="P142" i="202"/>
  <c r="O142" i="202"/>
  <c r="N142" i="202"/>
  <c r="M142" i="202"/>
  <c r="L142" i="202"/>
  <c r="K142" i="202"/>
  <c r="J142" i="202"/>
  <c r="I142" i="202"/>
  <c r="H142" i="202"/>
  <c r="G142" i="202"/>
  <c r="F142" i="202"/>
  <c r="Q141" i="202"/>
  <c r="P141" i="202"/>
  <c r="O141" i="202"/>
  <c r="N141" i="202"/>
  <c r="M141" i="202"/>
  <c r="L141" i="202"/>
  <c r="K141" i="202"/>
  <c r="J141" i="202"/>
  <c r="I141" i="202"/>
  <c r="H141" i="202"/>
  <c r="G141" i="202"/>
  <c r="F141" i="202"/>
  <c r="Q140" i="202"/>
  <c r="P140" i="202"/>
  <c r="O140" i="202"/>
  <c r="N140" i="202"/>
  <c r="M140" i="202"/>
  <c r="L140" i="202"/>
  <c r="K140" i="202"/>
  <c r="J140" i="202"/>
  <c r="I140" i="202"/>
  <c r="H140" i="202"/>
  <c r="G140" i="202"/>
  <c r="F140" i="202"/>
  <c r="Q139" i="202"/>
  <c r="P139" i="202"/>
  <c r="O139" i="202"/>
  <c r="N139" i="202"/>
  <c r="M139" i="202"/>
  <c r="L139" i="202"/>
  <c r="K139" i="202"/>
  <c r="J139" i="202"/>
  <c r="I139" i="202"/>
  <c r="H139" i="202"/>
  <c r="G139" i="202"/>
  <c r="F139" i="202"/>
  <c r="Q138" i="202"/>
  <c r="P138" i="202"/>
  <c r="O138" i="202"/>
  <c r="N138" i="202"/>
  <c r="M138" i="202"/>
  <c r="L138" i="202"/>
  <c r="K138" i="202"/>
  <c r="J138" i="202"/>
  <c r="I138" i="202"/>
  <c r="H138" i="202"/>
  <c r="G138" i="202"/>
  <c r="F138" i="202"/>
  <c r="Q137" i="202"/>
  <c r="P137" i="202"/>
  <c r="O137" i="202"/>
  <c r="N137" i="202"/>
  <c r="M137" i="202"/>
  <c r="L137" i="202"/>
  <c r="K137" i="202"/>
  <c r="J137" i="202"/>
  <c r="I137" i="202"/>
  <c r="H137" i="202"/>
  <c r="G137" i="202"/>
  <c r="F137" i="202"/>
  <c r="Q136" i="202"/>
  <c r="P136" i="202"/>
  <c r="O136" i="202"/>
  <c r="N136" i="202"/>
  <c r="M136" i="202"/>
  <c r="L136" i="202"/>
  <c r="K136" i="202"/>
  <c r="J136" i="202"/>
  <c r="I136" i="202"/>
  <c r="H136" i="202"/>
  <c r="G136" i="202"/>
  <c r="F136" i="202"/>
  <c r="Q135" i="202"/>
  <c r="P135" i="202"/>
  <c r="O135" i="202"/>
  <c r="N135" i="202"/>
  <c r="M135" i="202"/>
  <c r="L135" i="202"/>
  <c r="K135" i="202"/>
  <c r="J135" i="202"/>
  <c r="I135" i="202"/>
  <c r="H135" i="202"/>
  <c r="G135" i="202"/>
  <c r="F135" i="202"/>
  <c r="Q134" i="202"/>
  <c r="P134" i="202"/>
  <c r="O134" i="202"/>
  <c r="N134" i="202"/>
  <c r="M134" i="202"/>
  <c r="L134" i="202"/>
  <c r="K134" i="202"/>
  <c r="J134" i="202"/>
  <c r="I134" i="202"/>
  <c r="H134" i="202"/>
  <c r="G134" i="202"/>
  <c r="F134" i="202"/>
  <c r="Q133" i="202"/>
  <c r="P133" i="202"/>
  <c r="O133" i="202"/>
  <c r="N133" i="202"/>
  <c r="M133" i="202"/>
  <c r="L133" i="202"/>
  <c r="K133" i="202"/>
  <c r="J133" i="202"/>
  <c r="I133" i="202"/>
  <c r="H133" i="202"/>
  <c r="G133" i="202"/>
  <c r="F133" i="202"/>
  <c r="Q132" i="202"/>
  <c r="P132" i="202"/>
  <c r="O132" i="202"/>
  <c r="N132" i="202"/>
  <c r="M132" i="202"/>
  <c r="L132" i="202"/>
  <c r="K132" i="202"/>
  <c r="J132" i="202"/>
  <c r="I132" i="202"/>
  <c r="H132" i="202"/>
  <c r="G132" i="202"/>
  <c r="F132" i="202"/>
  <c r="Q131" i="202"/>
  <c r="P131" i="202"/>
  <c r="O131" i="202"/>
  <c r="N131" i="202"/>
  <c r="M131" i="202"/>
  <c r="L131" i="202"/>
  <c r="K131" i="202"/>
  <c r="J131" i="202"/>
  <c r="I131" i="202"/>
  <c r="H131" i="202"/>
  <c r="G131" i="202"/>
  <c r="F131" i="202"/>
  <c r="Q130" i="202"/>
  <c r="P130" i="202"/>
  <c r="O130" i="202"/>
  <c r="N130" i="202"/>
  <c r="M130" i="202"/>
  <c r="L130" i="202"/>
  <c r="K130" i="202"/>
  <c r="J130" i="202"/>
  <c r="I130" i="202"/>
  <c r="H130" i="202"/>
  <c r="G130" i="202"/>
  <c r="F130" i="202"/>
  <c r="Q129" i="202"/>
  <c r="P129" i="202"/>
  <c r="O129" i="202"/>
  <c r="N129" i="202"/>
  <c r="M129" i="202"/>
  <c r="L129" i="202"/>
  <c r="K129" i="202"/>
  <c r="J129" i="202"/>
  <c r="I129" i="202"/>
  <c r="H129" i="202"/>
  <c r="G129" i="202"/>
  <c r="F129" i="202"/>
  <c r="Q128" i="202"/>
  <c r="P128" i="202"/>
  <c r="O128" i="202"/>
  <c r="N128" i="202"/>
  <c r="M128" i="202"/>
  <c r="L128" i="202"/>
  <c r="K128" i="202"/>
  <c r="J128" i="202"/>
  <c r="I128" i="202"/>
  <c r="H128" i="202"/>
  <c r="G128" i="202"/>
  <c r="F128" i="202"/>
  <c r="Q127" i="202"/>
  <c r="P127" i="202"/>
  <c r="O127" i="202"/>
  <c r="N127" i="202"/>
  <c r="M127" i="202"/>
  <c r="L127" i="202"/>
  <c r="K127" i="202"/>
  <c r="J127" i="202"/>
  <c r="I127" i="202"/>
  <c r="H127" i="202"/>
  <c r="G127" i="202"/>
  <c r="F127" i="202"/>
  <c r="Q126" i="202"/>
  <c r="P126" i="202"/>
  <c r="O126" i="202"/>
  <c r="N126" i="202"/>
  <c r="M126" i="202"/>
  <c r="L126" i="202"/>
  <c r="K126" i="202"/>
  <c r="J126" i="202"/>
  <c r="I126" i="202"/>
  <c r="H126" i="202"/>
  <c r="G126" i="202"/>
  <c r="F126" i="202"/>
  <c r="Q125" i="202"/>
  <c r="P125" i="202"/>
  <c r="O125" i="202"/>
  <c r="N125" i="202"/>
  <c r="M125" i="202"/>
  <c r="L125" i="202"/>
  <c r="K125" i="202"/>
  <c r="J125" i="202"/>
  <c r="I125" i="202"/>
  <c r="H125" i="202"/>
  <c r="G125" i="202"/>
  <c r="F125" i="202"/>
  <c r="Q124" i="202"/>
  <c r="P124" i="202"/>
  <c r="O124" i="202"/>
  <c r="N124" i="202"/>
  <c r="M124" i="202"/>
  <c r="L124" i="202"/>
  <c r="K124" i="202"/>
  <c r="J124" i="202"/>
  <c r="I124" i="202"/>
  <c r="H124" i="202"/>
  <c r="G124" i="202"/>
  <c r="F124" i="202"/>
  <c r="Q123" i="202"/>
  <c r="P123" i="202"/>
  <c r="O123" i="202"/>
  <c r="N123" i="202"/>
  <c r="M123" i="202"/>
  <c r="L123" i="202"/>
  <c r="K123" i="202"/>
  <c r="J123" i="202"/>
  <c r="I123" i="202"/>
  <c r="H123" i="202"/>
  <c r="G123" i="202"/>
  <c r="F123" i="202"/>
  <c r="Q122" i="202"/>
  <c r="P122" i="202"/>
  <c r="O122" i="202"/>
  <c r="N122" i="202"/>
  <c r="M122" i="202"/>
  <c r="L122" i="202"/>
  <c r="K122" i="202"/>
  <c r="J122" i="202"/>
  <c r="I122" i="202"/>
  <c r="H122" i="202"/>
  <c r="G122" i="202"/>
  <c r="F122" i="202"/>
  <c r="Q121" i="202"/>
  <c r="P121" i="202"/>
  <c r="O121" i="202"/>
  <c r="N121" i="202"/>
  <c r="M121" i="202"/>
  <c r="L121" i="202"/>
  <c r="K121" i="202"/>
  <c r="J121" i="202"/>
  <c r="I121" i="202"/>
  <c r="H121" i="202"/>
  <c r="G121" i="202"/>
  <c r="F121" i="202"/>
  <c r="Q120" i="202"/>
  <c r="P120" i="202"/>
  <c r="O120" i="202"/>
  <c r="N120" i="202"/>
  <c r="M120" i="202"/>
  <c r="L120" i="202"/>
  <c r="K120" i="202"/>
  <c r="J120" i="202"/>
  <c r="I120" i="202"/>
  <c r="H120" i="202"/>
  <c r="G120" i="202"/>
  <c r="F120" i="202"/>
  <c r="Q119" i="202"/>
  <c r="P119" i="202"/>
  <c r="O119" i="202"/>
  <c r="N119" i="202"/>
  <c r="M119" i="202"/>
  <c r="L119" i="202"/>
  <c r="K119" i="202"/>
  <c r="J119" i="202"/>
  <c r="I119" i="202"/>
  <c r="H119" i="202"/>
  <c r="G119" i="202"/>
  <c r="F119" i="202"/>
  <c r="Q118" i="202"/>
  <c r="P118" i="202"/>
  <c r="O118" i="202"/>
  <c r="N118" i="202"/>
  <c r="M118" i="202"/>
  <c r="L118" i="202"/>
  <c r="K118" i="202"/>
  <c r="J118" i="202"/>
  <c r="I118" i="202"/>
  <c r="H118" i="202"/>
  <c r="G118" i="202"/>
  <c r="F118" i="202"/>
  <c r="Q117" i="202"/>
  <c r="P117" i="202"/>
  <c r="O117" i="202"/>
  <c r="N117" i="202"/>
  <c r="M117" i="202"/>
  <c r="L117" i="202"/>
  <c r="K117" i="202"/>
  <c r="J117" i="202"/>
  <c r="I117" i="202"/>
  <c r="H117" i="202"/>
  <c r="G117" i="202"/>
  <c r="F117" i="202"/>
  <c r="Q116" i="202"/>
  <c r="P116" i="202"/>
  <c r="O116" i="202"/>
  <c r="N116" i="202"/>
  <c r="M116" i="202"/>
  <c r="L116" i="202"/>
  <c r="K116" i="202"/>
  <c r="J116" i="202"/>
  <c r="I116" i="202"/>
  <c r="H116" i="202"/>
  <c r="G116" i="202"/>
  <c r="F116" i="202"/>
  <c r="Q115" i="202"/>
  <c r="P115" i="202"/>
  <c r="O115" i="202"/>
  <c r="N115" i="202"/>
  <c r="M115" i="202"/>
  <c r="L115" i="202"/>
  <c r="K115" i="202"/>
  <c r="J115" i="202"/>
  <c r="I115" i="202"/>
  <c r="H115" i="202"/>
  <c r="G115" i="202"/>
  <c r="F115" i="202"/>
  <c r="Q114" i="202"/>
  <c r="P114" i="202"/>
  <c r="O114" i="202"/>
  <c r="N114" i="202"/>
  <c r="M114" i="202"/>
  <c r="L114" i="202"/>
  <c r="K114" i="202"/>
  <c r="J114" i="202"/>
  <c r="I114" i="202"/>
  <c r="H114" i="202"/>
  <c r="G114" i="202"/>
  <c r="F114" i="202"/>
  <c r="Q113" i="202"/>
  <c r="P113" i="202"/>
  <c r="O113" i="202"/>
  <c r="N113" i="202"/>
  <c r="M113" i="202"/>
  <c r="L113" i="202"/>
  <c r="K113" i="202"/>
  <c r="J113" i="202"/>
  <c r="I113" i="202"/>
  <c r="H113" i="202"/>
  <c r="G113" i="202"/>
  <c r="F113" i="202"/>
  <c r="Q112" i="202"/>
  <c r="P112" i="202"/>
  <c r="O112" i="202"/>
  <c r="N112" i="202"/>
  <c r="M112" i="202"/>
  <c r="L112" i="202"/>
  <c r="K112" i="202"/>
  <c r="J112" i="202"/>
  <c r="I112" i="202"/>
  <c r="H112" i="202"/>
  <c r="G112" i="202"/>
  <c r="F112" i="202"/>
  <c r="Q111" i="202"/>
  <c r="P111" i="202"/>
  <c r="O111" i="202"/>
  <c r="N111" i="202"/>
  <c r="M111" i="202"/>
  <c r="L111" i="202"/>
  <c r="K111" i="202"/>
  <c r="J111" i="202"/>
  <c r="I111" i="202"/>
  <c r="H111" i="202"/>
  <c r="G111" i="202"/>
  <c r="F111" i="202"/>
  <c r="Q110" i="202"/>
  <c r="P110" i="202"/>
  <c r="O110" i="202"/>
  <c r="N110" i="202"/>
  <c r="M110" i="202"/>
  <c r="L110" i="202"/>
  <c r="K110" i="202"/>
  <c r="J110" i="202"/>
  <c r="I110" i="202"/>
  <c r="H110" i="202"/>
  <c r="G110" i="202"/>
  <c r="F110" i="202"/>
  <c r="Q109" i="202"/>
  <c r="P109" i="202"/>
  <c r="O109" i="202"/>
  <c r="N109" i="202"/>
  <c r="M109" i="202"/>
  <c r="L109" i="202"/>
  <c r="K109" i="202"/>
  <c r="J109" i="202"/>
  <c r="I109" i="202"/>
  <c r="H109" i="202"/>
  <c r="G109" i="202"/>
  <c r="F109" i="202"/>
  <c r="Q108" i="202"/>
  <c r="P108" i="202"/>
  <c r="O108" i="202"/>
  <c r="N108" i="202"/>
  <c r="M108" i="202"/>
  <c r="L108" i="202"/>
  <c r="K108" i="202"/>
  <c r="J108" i="202"/>
  <c r="I108" i="202"/>
  <c r="H108" i="202"/>
  <c r="G108" i="202"/>
  <c r="F108" i="202"/>
  <c r="Q107" i="202"/>
  <c r="P107" i="202"/>
  <c r="O107" i="202"/>
  <c r="N107" i="202"/>
  <c r="M107" i="202"/>
  <c r="L107" i="202"/>
  <c r="K107" i="202"/>
  <c r="J107" i="202"/>
  <c r="I107" i="202"/>
  <c r="H107" i="202"/>
  <c r="G107" i="202"/>
  <c r="F107" i="202"/>
  <c r="Q106" i="202"/>
  <c r="P106" i="202"/>
  <c r="O106" i="202"/>
  <c r="N106" i="202"/>
  <c r="M106" i="202"/>
  <c r="L106" i="202"/>
  <c r="K106" i="202"/>
  <c r="J106" i="202"/>
  <c r="I106" i="202"/>
  <c r="H106" i="202"/>
  <c r="G106" i="202"/>
  <c r="F106" i="202"/>
  <c r="Q105" i="202"/>
  <c r="P105" i="202"/>
  <c r="O105" i="202"/>
  <c r="N105" i="202"/>
  <c r="M105" i="202"/>
  <c r="L105" i="202"/>
  <c r="K105" i="202"/>
  <c r="J105" i="202"/>
  <c r="I105" i="202"/>
  <c r="H105" i="202"/>
  <c r="G105" i="202"/>
  <c r="F105" i="202"/>
  <c r="Q104" i="202"/>
  <c r="P104" i="202"/>
  <c r="O104" i="202"/>
  <c r="N104" i="202"/>
  <c r="M104" i="202"/>
  <c r="L104" i="202"/>
  <c r="K104" i="202"/>
  <c r="J104" i="202"/>
  <c r="I104" i="202"/>
  <c r="H104" i="202"/>
  <c r="G104" i="202"/>
  <c r="F104" i="202"/>
  <c r="Q103" i="202"/>
  <c r="P103" i="202"/>
  <c r="O103" i="202"/>
  <c r="N103" i="202"/>
  <c r="M103" i="202"/>
  <c r="L103" i="202"/>
  <c r="K103" i="202"/>
  <c r="J103" i="202"/>
  <c r="I103" i="202"/>
  <c r="H103" i="202"/>
  <c r="G103" i="202"/>
  <c r="F103" i="202"/>
  <c r="Q102" i="202"/>
  <c r="P102" i="202"/>
  <c r="O102" i="202"/>
  <c r="N102" i="202"/>
  <c r="M102" i="202"/>
  <c r="L102" i="202"/>
  <c r="K102" i="202"/>
  <c r="J102" i="202"/>
  <c r="I102" i="202"/>
  <c r="H102" i="202"/>
  <c r="G102" i="202"/>
  <c r="F102" i="202"/>
  <c r="Q101" i="202"/>
  <c r="P101" i="202"/>
  <c r="O101" i="202"/>
  <c r="N101" i="202"/>
  <c r="M101" i="202"/>
  <c r="L101" i="202"/>
  <c r="K101" i="202"/>
  <c r="J101" i="202"/>
  <c r="I101" i="202"/>
  <c r="H101" i="202"/>
  <c r="G101" i="202"/>
  <c r="F101" i="202"/>
  <c r="Q100" i="202"/>
  <c r="P100" i="202"/>
  <c r="O100" i="202"/>
  <c r="N100" i="202"/>
  <c r="M100" i="202"/>
  <c r="L100" i="202"/>
  <c r="K100" i="202"/>
  <c r="J100" i="202"/>
  <c r="I100" i="202"/>
  <c r="H100" i="202"/>
  <c r="G100" i="202"/>
  <c r="F100" i="202"/>
  <c r="Q99" i="202"/>
  <c r="P99" i="202"/>
  <c r="O99" i="202"/>
  <c r="N99" i="202"/>
  <c r="M99" i="202"/>
  <c r="L99" i="202"/>
  <c r="K99" i="202"/>
  <c r="J99" i="202"/>
  <c r="I99" i="202"/>
  <c r="H99" i="202"/>
  <c r="G99" i="202"/>
  <c r="F99" i="202"/>
  <c r="Q98" i="202"/>
  <c r="P98" i="202"/>
  <c r="O98" i="202"/>
  <c r="N98" i="202"/>
  <c r="M98" i="202"/>
  <c r="L98" i="202"/>
  <c r="K98" i="202"/>
  <c r="J98" i="202"/>
  <c r="I98" i="202"/>
  <c r="H98" i="202"/>
  <c r="G98" i="202"/>
  <c r="F98" i="202"/>
  <c r="Q97" i="202"/>
  <c r="P97" i="202"/>
  <c r="O97" i="202"/>
  <c r="N97" i="202"/>
  <c r="M97" i="202"/>
  <c r="L97" i="202"/>
  <c r="K97" i="202"/>
  <c r="J97" i="202"/>
  <c r="I97" i="202"/>
  <c r="H97" i="202"/>
  <c r="G97" i="202"/>
  <c r="F97" i="202"/>
  <c r="Q96" i="202"/>
  <c r="P96" i="202"/>
  <c r="O96" i="202"/>
  <c r="N96" i="202"/>
  <c r="M96" i="202"/>
  <c r="L96" i="202"/>
  <c r="K96" i="202"/>
  <c r="J96" i="202"/>
  <c r="I96" i="202"/>
  <c r="H96" i="202"/>
  <c r="G96" i="202"/>
  <c r="F96" i="202"/>
  <c r="Q95" i="202"/>
  <c r="P95" i="202"/>
  <c r="O95" i="202"/>
  <c r="N95" i="202"/>
  <c r="M95" i="202"/>
  <c r="L95" i="202"/>
  <c r="K95" i="202"/>
  <c r="J95" i="202"/>
  <c r="I95" i="202"/>
  <c r="H95" i="202"/>
  <c r="G95" i="202"/>
  <c r="F95" i="202"/>
  <c r="Q94" i="202"/>
  <c r="P94" i="202"/>
  <c r="O94" i="202"/>
  <c r="N94" i="202"/>
  <c r="M94" i="202"/>
  <c r="L94" i="202"/>
  <c r="K94" i="202"/>
  <c r="J94" i="202"/>
  <c r="I94" i="202"/>
  <c r="H94" i="202"/>
  <c r="G94" i="202"/>
  <c r="F94" i="202"/>
  <c r="Q93" i="202"/>
  <c r="P93" i="202"/>
  <c r="O93" i="202"/>
  <c r="N93" i="202"/>
  <c r="M93" i="202"/>
  <c r="L93" i="202"/>
  <c r="K93" i="202"/>
  <c r="J93" i="202"/>
  <c r="I93" i="202"/>
  <c r="H93" i="202"/>
  <c r="G93" i="202"/>
  <c r="F93" i="202"/>
  <c r="Q92" i="202"/>
  <c r="P92" i="202"/>
  <c r="O92" i="202"/>
  <c r="N92" i="202"/>
  <c r="M92" i="202"/>
  <c r="L92" i="202"/>
  <c r="K92" i="202"/>
  <c r="J92" i="202"/>
  <c r="I92" i="202"/>
  <c r="H92" i="202"/>
  <c r="G92" i="202"/>
  <c r="F92" i="202"/>
  <c r="Q91" i="202"/>
  <c r="P91" i="202"/>
  <c r="O91" i="202"/>
  <c r="N91" i="202"/>
  <c r="M91" i="202"/>
  <c r="L91" i="202"/>
  <c r="K91" i="202"/>
  <c r="J91" i="202"/>
  <c r="I91" i="202"/>
  <c r="H91" i="202"/>
  <c r="G91" i="202"/>
  <c r="F91" i="202"/>
  <c r="Q90" i="202"/>
  <c r="P90" i="202"/>
  <c r="O90" i="202"/>
  <c r="N90" i="202"/>
  <c r="M90" i="202"/>
  <c r="L90" i="202"/>
  <c r="K90" i="202"/>
  <c r="J90" i="202"/>
  <c r="I90" i="202"/>
  <c r="H90" i="202"/>
  <c r="G90" i="202"/>
  <c r="F90" i="202"/>
  <c r="Q89" i="202"/>
  <c r="P89" i="202"/>
  <c r="O89" i="202"/>
  <c r="N89" i="202"/>
  <c r="M89" i="202"/>
  <c r="L89" i="202"/>
  <c r="K89" i="202"/>
  <c r="J89" i="202"/>
  <c r="I89" i="202"/>
  <c r="H89" i="202"/>
  <c r="G89" i="202"/>
  <c r="F89" i="202"/>
  <c r="Q88" i="202"/>
  <c r="P88" i="202"/>
  <c r="O88" i="202"/>
  <c r="N88" i="202"/>
  <c r="M88" i="202"/>
  <c r="L88" i="202"/>
  <c r="K88" i="202"/>
  <c r="J88" i="202"/>
  <c r="I88" i="202"/>
  <c r="H88" i="202"/>
  <c r="G88" i="202"/>
  <c r="F88" i="202"/>
  <c r="Q87" i="202"/>
  <c r="P87" i="202"/>
  <c r="O87" i="202"/>
  <c r="N87" i="202"/>
  <c r="M87" i="202"/>
  <c r="L87" i="202"/>
  <c r="K87" i="202"/>
  <c r="J87" i="202"/>
  <c r="I87" i="202"/>
  <c r="H87" i="202"/>
  <c r="G87" i="202"/>
  <c r="F87" i="202"/>
  <c r="Q86" i="202"/>
  <c r="P86" i="202"/>
  <c r="O86" i="202"/>
  <c r="N86" i="202"/>
  <c r="M86" i="202"/>
  <c r="L86" i="202"/>
  <c r="K86" i="202"/>
  <c r="J86" i="202"/>
  <c r="I86" i="202"/>
  <c r="H86" i="202"/>
  <c r="G86" i="202"/>
  <c r="F86" i="202"/>
  <c r="Q85" i="202"/>
  <c r="P85" i="202"/>
  <c r="O85" i="202"/>
  <c r="N85" i="202"/>
  <c r="M85" i="202"/>
  <c r="L85" i="202"/>
  <c r="K85" i="202"/>
  <c r="J85" i="202"/>
  <c r="I85" i="202"/>
  <c r="H85" i="202"/>
  <c r="G85" i="202"/>
  <c r="F85" i="202"/>
  <c r="Q84" i="202"/>
  <c r="P84" i="202"/>
  <c r="O84" i="202"/>
  <c r="N84" i="202"/>
  <c r="M84" i="202"/>
  <c r="L84" i="202"/>
  <c r="K84" i="202"/>
  <c r="J84" i="202"/>
  <c r="I84" i="202"/>
  <c r="H84" i="202"/>
  <c r="G84" i="202"/>
  <c r="F84" i="202"/>
  <c r="Q83" i="202"/>
  <c r="P83" i="202"/>
  <c r="O83" i="202"/>
  <c r="N83" i="202"/>
  <c r="M83" i="202"/>
  <c r="L83" i="202"/>
  <c r="K83" i="202"/>
  <c r="J83" i="202"/>
  <c r="I83" i="202"/>
  <c r="H83" i="202"/>
  <c r="G83" i="202"/>
  <c r="F83" i="202"/>
  <c r="Q82" i="202"/>
  <c r="P82" i="202"/>
  <c r="O82" i="202"/>
  <c r="N82" i="202"/>
  <c r="M82" i="202"/>
  <c r="L82" i="202"/>
  <c r="K82" i="202"/>
  <c r="J82" i="202"/>
  <c r="I82" i="202"/>
  <c r="H82" i="202"/>
  <c r="G82" i="202"/>
  <c r="F82" i="202"/>
  <c r="Q81" i="202"/>
  <c r="P81" i="202"/>
  <c r="O81" i="202"/>
  <c r="N81" i="202"/>
  <c r="M81" i="202"/>
  <c r="L81" i="202"/>
  <c r="K81" i="202"/>
  <c r="J81" i="202"/>
  <c r="I81" i="202"/>
  <c r="H81" i="202"/>
  <c r="G81" i="202"/>
  <c r="F81" i="202"/>
  <c r="Q80" i="202"/>
  <c r="P80" i="202"/>
  <c r="O80" i="202"/>
  <c r="N80" i="202"/>
  <c r="M80" i="202"/>
  <c r="L80" i="202"/>
  <c r="K80" i="202"/>
  <c r="J80" i="202"/>
  <c r="I80" i="202"/>
  <c r="H80" i="202"/>
  <c r="G80" i="202"/>
  <c r="F80" i="202"/>
  <c r="Q79" i="202"/>
  <c r="P79" i="202"/>
  <c r="O79" i="202"/>
  <c r="N79" i="202"/>
  <c r="M79" i="202"/>
  <c r="L79" i="202"/>
  <c r="K79" i="202"/>
  <c r="J79" i="202"/>
  <c r="I79" i="202"/>
  <c r="H79" i="202"/>
  <c r="G79" i="202"/>
  <c r="F79" i="202"/>
  <c r="Q78" i="202"/>
  <c r="P78" i="202"/>
  <c r="O78" i="202"/>
  <c r="N78" i="202"/>
  <c r="M78" i="202"/>
  <c r="L78" i="202"/>
  <c r="K78" i="202"/>
  <c r="J78" i="202"/>
  <c r="I78" i="202"/>
  <c r="H78" i="202"/>
  <c r="G78" i="202"/>
  <c r="F78" i="202"/>
  <c r="Q77" i="202"/>
  <c r="P77" i="202"/>
  <c r="O77" i="202"/>
  <c r="N77" i="202"/>
  <c r="M77" i="202"/>
  <c r="L77" i="202"/>
  <c r="K77" i="202"/>
  <c r="J77" i="202"/>
  <c r="I77" i="202"/>
  <c r="H77" i="202"/>
  <c r="G77" i="202"/>
  <c r="F77" i="202"/>
  <c r="Q76" i="202"/>
  <c r="P76" i="202"/>
  <c r="O76" i="202"/>
  <c r="N76" i="202"/>
  <c r="M76" i="202"/>
  <c r="L76" i="202"/>
  <c r="K76" i="202"/>
  <c r="J76" i="202"/>
  <c r="I76" i="202"/>
  <c r="H76" i="202"/>
  <c r="G76" i="202"/>
  <c r="F76" i="202"/>
  <c r="Q75" i="202"/>
  <c r="P75" i="202"/>
  <c r="O75" i="202"/>
  <c r="N75" i="202"/>
  <c r="M75" i="202"/>
  <c r="L75" i="202"/>
  <c r="K75" i="202"/>
  <c r="J75" i="202"/>
  <c r="I75" i="202"/>
  <c r="H75" i="202"/>
  <c r="G75" i="202"/>
  <c r="F75" i="202"/>
  <c r="Q74" i="202"/>
  <c r="P74" i="202"/>
  <c r="O74" i="202"/>
  <c r="N74" i="202"/>
  <c r="M74" i="202"/>
  <c r="L74" i="202"/>
  <c r="K74" i="202"/>
  <c r="J74" i="202"/>
  <c r="I74" i="202"/>
  <c r="H74" i="202"/>
  <c r="G74" i="202"/>
  <c r="F74" i="202"/>
  <c r="Q73" i="202"/>
  <c r="P73" i="202"/>
  <c r="O73" i="202"/>
  <c r="N73" i="202"/>
  <c r="M73" i="202"/>
  <c r="L73" i="202"/>
  <c r="K73" i="202"/>
  <c r="J73" i="202"/>
  <c r="I73" i="202"/>
  <c r="H73" i="202"/>
  <c r="G73" i="202"/>
  <c r="F73" i="202"/>
  <c r="Q72" i="202"/>
  <c r="P72" i="202"/>
  <c r="O72" i="202"/>
  <c r="N72" i="202"/>
  <c r="M72" i="202"/>
  <c r="L72" i="202"/>
  <c r="K72" i="202"/>
  <c r="J72" i="202"/>
  <c r="I72" i="202"/>
  <c r="H72" i="202"/>
  <c r="G72" i="202"/>
  <c r="F72" i="202"/>
  <c r="Q71" i="202"/>
  <c r="P71" i="202"/>
  <c r="O71" i="202"/>
  <c r="N71" i="202"/>
  <c r="M71" i="202"/>
  <c r="L71" i="202"/>
  <c r="K71" i="202"/>
  <c r="J71" i="202"/>
  <c r="I71" i="202"/>
  <c r="H71" i="202"/>
  <c r="G71" i="202"/>
  <c r="F71" i="202"/>
  <c r="Q70" i="202"/>
  <c r="P70" i="202"/>
  <c r="O70" i="202"/>
  <c r="N70" i="202"/>
  <c r="M70" i="202"/>
  <c r="L70" i="202"/>
  <c r="K70" i="202"/>
  <c r="J70" i="202"/>
  <c r="I70" i="202"/>
  <c r="H70" i="202"/>
  <c r="G70" i="202"/>
  <c r="F70" i="202"/>
  <c r="Q69" i="202"/>
  <c r="P69" i="202"/>
  <c r="O69" i="202"/>
  <c r="N69" i="202"/>
  <c r="M69" i="202"/>
  <c r="L69" i="202"/>
  <c r="K69" i="202"/>
  <c r="J69" i="202"/>
  <c r="I69" i="202"/>
  <c r="H69" i="202"/>
  <c r="G69" i="202"/>
  <c r="F69" i="202"/>
  <c r="Q68" i="202"/>
  <c r="P68" i="202"/>
  <c r="O68" i="202"/>
  <c r="N68" i="202"/>
  <c r="M68" i="202"/>
  <c r="L68" i="202"/>
  <c r="K68" i="202"/>
  <c r="J68" i="202"/>
  <c r="I68" i="202"/>
  <c r="H68" i="202"/>
  <c r="G68" i="202"/>
  <c r="F68" i="202"/>
  <c r="Q67" i="202"/>
  <c r="P67" i="202"/>
  <c r="O67" i="202"/>
  <c r="N67" i="202"/>
  <c r="M67" i="202"/>
  <c r="L67" i="202"/>
  <c r="K67" i="202"/>
  <c r="J67" i="202"/>
  <c r="I67" i="202"/>
  <c r="H67" i="202"/>
  <c r="G67" i="202"/>
  <c r="F67" i="202"/>
  <c r="Q66" i="202"/>
  <c r="P66" i="202"/>
  <c r="O66" i="202"/>
  <c r="N66" i="202"/>
  <c r="M66" i="202"/>
  <c r="L66" i="202"/>
  <c r="K66" i="202"/>
  <c r="J66" i="202"/>
  <c r="I66" i="202"/>
  <c r="H66" i="202"/>
  <c r="G66" i="202"/>
  <c r="F66" i="202"/>
  <c r="Q65" i="202"/>
  <c r="P65" i="202"/>
  <c r="O65" i="202"/>
  <c r="N65" i="202"/>
  <c r="M65" i="202"/>
  <c r="L65" i="202"/>
  <c r="K65" i="202"/>
  <c r="J65" i="202"/>
  <c r="I65" i="202"/>
  <c r="H65" i="202"/>
  <c r="G65" i="202"/>
  <c r="F65" i="202"/>
  <c r="Q64" i="202"/>
  <c r="P64" i="202"/>
  <c r="O64" i="202"/>
  <c r="N64" i="202"/>
  <c r="M64" i="202"/>
  <c r="L64" i="202"/>
  <c r="K64" i="202"/>
  <c r="J64" i="202"/>
  <c r="I64" i="202"/>
  <c r="H64" i="202"/>
  <c r="G64" i="202"/>
  <c r="F64" i="202"/>
  <c r="Q63" i="202"/>
  <c r="P63" i="202"/>
  <c r="O63" i="202"/>
  <c r="N63" i="202"/>
  <c r="M63" i="202"/>
  <c r="L63" i="202"/>
  <c r="K63" i="202"/>
  <c r="J63" i="202"/>
  <c r="I63" i="202"/>
  <c r="H63" i="202"/>
  <c r="G63" i="202"/>
  <c r="F63" i="202"/>
  <c r="Q62" i="202"/>
  <c r="P62" i="202"/>
  <c r="O62" i="202"/>
  <c r="N62" i="202"/>
  <c r="M62" i="202"/>
  <c r="L62" i="202"/>
  <c r="K62" i="202"/>
  <c r="J62" i="202"/>
  <c r="I62" i="202"/>
  <c r="H62" i="202"/>
  <c r="G62" i="202"/>
  <c r="F62" i="202"/>
  <c r="Q61" i="202"/>
  <c r="P61" i="202"/>
  <c r="O61" i="202"/>
  <c r="N61" i="202"/>
  <c r="M61" i="202"/>
  <c r="L61" i="202"/>
  <c r="K61" i="202"/>
  <c r="J61" i="202"/>
  <c r="I61" i="202"/>
  <c r="H61" i="202"/>
  <c r="G61" i="202"/>
  <c r="F61" i="202"/>
  <c r="Q60" i="202"/>
  <c r="P60" i="202"/>
  <c r="O60" i="202"/>
  <c r="N60" i="202"/>
  <c r="M60" i="202"/>
  <c r="L60" i="202"/>
  <c r="K60" i="202"/>
  <c r="J60" i="202"/>
  <c r="I60" i="202"/>
  <c r="H60" i="202"/>
  <c r="G60" i="202"/>
  <c r="F60" i="202"/>
  <c r="Q59" i="202"/>
  <c r="P59" i="202"/>
  <c r="O59" i="202"/>
  <c r="N59" i="202"/>
  <c r="M59" i="202"/>
  <c r="L59" i="202"/>
  <c r="K59" i="202"/>
  <c r="J59" i="202"/>
  <c r="I59" i="202"/>
  <c r="H59" i="202"/>
  <c r="G59" i="202"/>
  <c r="F59" i="202"/>
  <c r="Q58" i="202"/>
  <c r="P58" i="202"/>
  <c r="O58" i="202"/>
  <c r="N58" i="202"/>
  <c r="M58" i="202"/>
  <c r="L58" i="202"/>
  <c r="K58" i="202"/>
  <c r="J58" i="202"/>
  <c r="I58" i="202"/>
  <c r="H58" i="202"/>
  <c r="G58" i="202"/>
  <c r="F58" i="202"/>
  <c r="Q57" i="202"/>
  <c r="P57" i="202"/>
  <c r="O57" i="202"/>
  <c r="N57" i="202"/>
  <c r="M57" i="202"/>
  <c r="L57" i="202"/>
  <c r="K57" i="202"/>
  <c r="J57" i="202"/>
  <c r="I57" i="202"/>
  <c r="H57" i="202"/>
  <c r="G57" i="202"/>
  <c r="F57" i="202"/>
  <c r="Q56" i="202"/>
  <c r="P56" i="202"/>
  <c r="O56" i="202"/>
  <c r="N56" i="202"/>
  <c r="M56" i="202"/>
  <c r="L56" i="202"/>
  <c r="K56" i="202"/>
  <c r="J56" i="202"/>
  <c r="I56" i="202"/>
  <c r="H56" i="202"/>
  <c r="G56" i="202"/>
  <c r="F56" i="202"/>
  <c r="Q55" i="202"/>
  <c r="P55" i="202"/>
  <c r="O55" i="202"/>
  <c r="N55" i="202"/>
  <c r="M55" i="202"/>
  <c r="L55" i="202"/>
  <c r="K55" i="202"/>
  <c r="J55" i="202"/>
  <c r="I55" i="202"/>
  <c r="H55" i="202"/>
  <c r="G55" i="202"/>
  <c r="F55" i="202"/>
  <c r="Q54" i="202"/>
  <c r="P54" i="202"/>
  <c r="O54" i="202"/>
  <c r="N54" i="202"/>
  <c r="M54" i="202"/>
  <c r="L54" i="202"/>
  <c r="K54" i="202"/>
  <c r="J54" i="202"/>
  <c r="I54" i="202"/>
  <c r="H54" i="202"/>
  <c r="G54" i="202"/>
  <c r="F54" i="202"/>
  <c r="Q53" i="202"/>
  <c r="P53" i="202"/>
  <c r="O53" i="202"/>
  <c r="N53" i="202"/>
  <c r="M53" i="202"/>
  <c r="L53" i="202"/>
  <c r="K53" i="202"/>
  <c r="J53" i="202"/>
  <c r="I53" i="202"/>
  <c r="H53" i="202"/>
  <c r="G53" i="202"/>
  <c r="F53" i="202"/>
  <c r="Q52" i="202"/>
  <c r="P52" i="202"/>
  <c r="O52" i="202"/>
  <c r="N52" i="202"/>
  <c r="M52" i="202"/>
  <c r="L52" i="202"/>
  <c r="K52" i="202"/>
  <c r="J52" i="202"/>
  <c r="I52" i="202"/>
  <c r="H52" i="202"/>
  <c r="G52" i="202"/>
  <c r="F52" i="202"/>
  <c r="Q51" i="202"/>
  <c r="P51" i="202"/>
  <c r="O51" i="202"/>
  <c r="N51" i="202"/>
  <c r="M51" i="202"/>
  <c r="L51" i="202"/>
  <c r="K51" i="202"/>
  <c r="J51" i="202"/>
  <c r="I51" i="202"/>
  <c r="H51" i="202"/>
  <c r="G51" i="202"/>
  <c r="F51" i="202"/>
  <c r="Q50" i="202"/>
  <c r="P50" i="202"/>
  <c r="O50" i="202"/>
  <c r="N50" i="202"/>
  <c r="M50" i="202"/>
  <c r="L50" i="202"/>
  <c r="K50" i="202"/>
  <c r="J50" i="202"/>
  <c r="I50" i="202"/>
  <c r="H50" i="202"/>
  <c r="G50" i="202"/>
  <c r="F50" i="202"/>
  <c r="Q49" i="202"/>
  <c r="P49" i="202"/>
  <c r="O49" i="202"/>
  <c r="N49" i="202"/>
  <c r="M49" i="202"/>
  <c r="L49" i="202"/>
  <c r="K49" i="202"/>
  <c r="J49" i="202"/>
  <c r="I49" i="202"/>
  <c r="H49" i="202"/>
  <c r="G49" i="202"/>
  <c r="F49" i="202"/>
  <c r="Q48" i="202"/>
  <c r="P48" i="202"/>
  <c r="O48" i="202"/>
  <c r="N48" i="202"/>
  <c r="M48" i="202"/>
  <c r="L48" i="202"/>
  <c r="K48" i="202"/>
  <c r="J48" i="202"/>
  <c r="I48" i="202"/>
  <c r="H48" i="202"/>
  <c r="G48" i="202"/>
  <c r="F48" i="202"/>
  <c r="Q47" i="202"/>
  <c r="P47" i="202"/>
  <c r="O47" i="202"/>
  <c r="N47" i="202"/>
  <c r="M47" i="202"/>
  <c r="L47" i="202"/>
  <c r="K47" i="202"/>
  <c r="J47" i="202"/>
  <c r="I47" i="202"/>
  <c r="H47" i="202"/>
  <c r="G47" i="202"/>
  <c r="F47" i="202"/>
  <c r="Q46" i="202"/>
  <c r="P46" i="202"/>
  <c r="O46" i="202"/>
  <c r="N46" i="202"/>
  <c r="M46" i="202"/>
  <c r="L46" i="202"/>
  <c r="K46" i="202"/>
  <c r="J46" i="202"/>
  <c r="I46" i="202"/>
  <c r="H46" i="202"/>
  <c r="G46" i="202"/>
  <c r="F46" i="202"/>
  <c r="Q45" i="202"/>
  <c r="P45" i="202"/>
  <c r="O45" i="202"/>
  <c r="N45" i="202"/>
  <c r="M45" i="202"/>
  <c r="L45" i="202"/>
  <c r="K45" i="202"/>
  <c r="J45" i="202"/>
  <c r="I45" i="202"/>
  <c r="H45" i="202"/>
  <c r="G45" i="202"/>
  <c r="F45" i="202"/>
  <c r="Q44" i="202"/>
  <c r="P44" i="202"/>
  <c r="O44" i="202"/>
  <c r="N44" i="202"/>
  <c r="M44" i="202"/>
  <c r="L44" i="202"/>
  <c r="K44" i="202"/>
  <c r="J44" i="202"/>
  <c r="I44" i="202"/>
  <c r="H44" i="202"/>
  <c r="G44" i="202"/>
  <c r="F44" i="202"/>
  <c r="Q43" i="202"/>
  <c r="P43" i="202"/>
  <c r="O43" i="202"/>
  <c r="N43" i="202"/>
  <c r="M43" i="202"/>
  <c r="L43" i="202"/>
  <c r="K43" i="202"/>
  <c r="J43" i="202"/>
  <c r="I43" i="202"/>
  <c r="H43" i="202"/>
  <c r="G43" i="202"/>
  <c r="F43" i="202"/>
  <c r="Q42" i="202"/>
  <c r="P42" i="202"/>
  <c r="O42" i="202"/>
  <c r="N42" i="202"/>
  <c r="M42" i="202"/>
  <c r="L42" i="202"/>
  <c r="K42" i="202"/>
  <c r="J42" i="202"/>
  <c r="I42" i="202"/>
  <c r="H42" i="202"/>
  <c r="G42" i="202"/>
  <c r="F42" i="202"/>
  <c r="Q41" i="202"/>
  <c r="P41" i="202"/>
  <c r="O41" i="202"/>
  <c r="N41" i="202"/>
  <c r="M41" i="202"/>
  <c r="L41" i="202"/>
  <c r="K41" i="202"/>
  <c r="J41" i="202"/>
  <c r="I41" i="202"/>
  <c r="H41" i="202"/>
  <c r="G41" i="202"/>
  <c r="F41" i="202"/>
  <c r="Q40" i="202"/>
  <c r="P40" i="202"/>
  <c r="O40" i="202"/>
  <c r="N40" i="202"/>
  <c r="M40" i="202"/>
  <c r="L40" i="202"/>
  <c r="K40" i="202"/>
  <c r="J40" i="202"/>
  <c r="I40" i="202"/>
  <c r="H40" i="202"/>
  <c r="G40" i="202"/>
  <c r="F40" i="202"/>
  <c r="Q39" i="202"/>
  <c r="P39" i="202"/>
  <c r="O39" i="202"/>
  <c r="N39" i="202"/>
  <c r="M39" i="202"/>
  <c r="L39" i="202"/>
  <c r="K39" i="202"/>
  <c r="J39" i="202"/>
  <c r="I39" i="202"/>
  <c r="H39" i="202"/>
  <c r="G39" i="202"/>
  <c r="F39" i="202"/>
  <c r="Q38" i="202"/>
  <c r="P38" i="202"/>
  <c r="O38" i="202"/>
  <c r="N38" i="202"/>
  <c r="M38" i="202"/>
  <c r="L38" i="202"/>
  <c r="K38" i="202"/>
  <c r="J38" i="202"/>
  <c r="I38" i="202"/>
  <c r="H38" i="202"/>
  <c r="G38" i="202"/>
  <c r="F38" i="202"/>
  <c r="Q37" i="202"/>
  <c r="P37" i="202"/>
  <c r="O37" i="202"/>
  <c r="N37" i="202"/>
  <c r="M37" i="202"/>
  <c r="L37" i="202"/>
  <c r="K37" i="202"/>
  <c r="J37" i="202"/>
  <c r="I37" i="202"/>
  <c r="H37" i="202"/>
  <c r="G37" i="202"/>
  <c r="F37" i="202"/>
  <c r="Q36" i="202"/>
  <c r="P36" i="202"/>
  <c r="O36" i="202"/>
  <c r="N36" i="202"/>
  <c r="M36" i="202"/>
  <c r="L36" i="202"/>
  <c r="K36" i="202"/>
  <c r="J36" i="202"/>
  <c r="I36" i="202"/>
  <c r="H36" i="202"/>
  <c r="G36" i="202"/>
  <c r="F36" i="202"/>
  <c r="Q35" i="202"/>
  <c r="P35" i="202"/>
  <c r="O35" i="202"/>
  <c r="N35" i="202"/>
  <c r="M35" i="202"/>
  <c r="L35" i="202"/>
  <c r="K35" i="202"/>
  <c r="J35" i="202"/>
  <c r="I35" i="202"/>
  <c r="H35" i="202"/>
  <c r="G35" i="202"/>
  <c r="F35" i="202"/>
  <c r="Q34" i="202"/>
  <c r="P34" i="202"/>
  <c r="O34" i="202"/>
  <c r="N34" i="202"/>
  <c r="M34" i="202"/>
  <c r="L34" i="202"/>
  <c r="K34" i="202"/>
  <c r="J34" i="202"/>
  <c r="I34" i="202"/>
  <c r="H34" i="202"/>
  <c r="G34" i="202"/>
  <c r="F34" i="202"/>
  <c r="Q33" i="202"/>
  <c r="P33" i="202"/>
  <c r="O33" i="202"/>
  <c r="N33" i="202"/>
  <c r="M33" i="202"/>
  <c r="L33" i="202"/>
  <c r="K33" i="202"/>
  <c r="J33" i="202"/>
  <c r="I33" i="202"/>
  <c r="H33" i="202"/>
  <c r="G33" i="202"/>
  <c r="F33" i="202"/>
  <c r="Q32" i="202"/>
  <c r="P32" i="202"/>
  <c r="O32" i="202"/>
  <c r="N32" i="202"/>
  <c r="M32" i="202"/>
  <c r="L32" i="202"/>
  <c r="K32" i="202"/>
  <c r="J32" i="202"/>
  <c r="I32" i="202"/>
  <c r="H32" i="202"/>
  <c r="G32" i="202"/>
  <c r="F32" i="202"/>
  <c r="Q31" i="202"/>
  <c r="P31" i="202"/>
  <c r="O31" i="202"/>
  <c r="N31" i="202"/>
  <c r="M31" i="202"/>
  <c r="L31" i="202"/>
  <c r="K31" i="202"/>
  <c r="J31" i="202"/>
  <c r="I31" i="202"/>
  <c r="H31" i="202"/>
  <c r="G31" i="202"/>
  <c r="F31" i="202"/>
  <c r="Q30" i="202"/>
  <c r="P30" i="202"/>
  <c r="O30" i="202"/>
  <c r="N30" i="202"/>
  <c r="M30" i="202"/>
  <c r="L30" i="202"/>
  <c r="K30" i="202"/>
  <c r="J30" i="202"/>
  <c r="I30" i="202"/>
  <c r="H30" i="202"/>
  <c r="G30" i="202"/>
  <c r="F30" i="202"/>
  <c r="Q29" i="202"/>
  <c r="P29" i="202"/>
  <c r="O29" i="202"/>
  <c r="N29" i="202"/>
  <c r="M29" i="202"/>
  <c r="L29" i="202"/>
  <c r="K29" i="202"/>
  <c r="J29" i="202"/>
  <c r="I29" i="202"/>
  <c r="H29" i="202"/>
  <c r="G29" i="202"/>
  <c r="F29" i="202"/>
  <c r="Q28" i="202"/>
  <c r="P28" i="202"/>
  <c r="O28" i="202"/>
  <c r="N28" i="202"/>
  <c r="M28" i="202"/>
  <c r="L28" i="202"/>
  <c r="K28" i="202"/>
  <c r="J28" i="202"/>
  <c r="I28" i="202"/>
  <c r="H28" i="202"/>
  <c r="G28" i="202"/>
  <c r="F28" i="202"/>
  <c r="Q25" i="202"/>
  <c r="P25" i="202"/>
  <c r="O25" i="202"/>
  <c r="N25" i="202"/>
  <c r="M25" i="202"/>
  <c r="L25" i="202"/>
  <c r="K25" i="202"/>
  <c r="J25" i="202"/>
  <c r="I25" i="202"/>
  <c r="H25" i="202"/>
  <c r="G25" i="202"/>
  <c r="F25" i="202"/>
  <c r="Q161" i="201"/>
  <c r="O161" i="201"/>
  <c r="M161" i="201"/>
  <c r="K161" i="201"/>
  <c r="I161" i="201"/>
  <c r="G161" i="201"/>
  <c r="Q160" i="201"/>
  <c r="P160" i="201"/>
  <c r="O160" i="201"/>
  <c r="N160" i="201"/>
  <c r="M160" i="201"/>
  <c r="L160" i="201"/>
  <c r="K160" i="201"/>
  <c r="J160" i="201"/>
  <c r="I160" i="201"/>
  <c r="H160" i="201"/>
  <c r="G160" i="201"/>
  <c r="F160" i="201"/>
  <c r="Q159" i="201"/>
  <c r="P159" i="201"/>
  <c r="O159" i="201"/>
  <c r="N159" i="201"/>
  <c r="M159" i="201"/>
  <c r="L159" i="201"/>
  <c r="K159" i="201"/>
  <c r="J159" i="201"/>
  <c r="I159" i="201"/>
  <c r="H159" i="201"/>
  <c r="G159" i="201"/>
  <c r="F159" i="201"/>
  <c r="Q158" i="201"/>
  <c r="P158" i="201"/>
  <c r="O158" i="201"/>
  <c r="N158" i="201"/>
  <c r="M158" i="201"/>
  <c r="L158" i="201"/>
  <c r="K158" i="201"/>
  <c r="J158" i="201"/>
  <c r="I158" i="201"/>
  <c r="H158" i="201"/>
  <c r="G158" i="201"/>
  <c r="F158" i="201"/>
  <c r="Q157" i="201"/>
  <c r="P157" i="201"/>
  <c r="O157" i="201"/>
  <c r="N157" i="201"/>
  <c r="M157" i="201"/>
  <c r="L157" i="201"/>
  <c r="K157" i="201"/>
  <c r="J157" i="201"/>
  <c r="I157" i="201"/>
  <c r="H157" i="201"/>
  <c r="G157" i="201"/>
  <c r="F157" i="201"/>
  <c r="Q156" i="201"/>
  <c r="P156" i="201"/>
  <c r="O156" i="201"/>
  <c r="N156" i="201"/>
  <c r="M156" i="201"/>
  <c r="L156" i="201"/>
  <c r="K156" i="201"/>
  <c r="J156" i="201"/>
  <c r="I156" i="201"/>
  <c r="H156" i="201"/>
  <c r="G156" i="201"/>
  <c r="F156" i="201"/>
  <c r="Q155" i="201"/>
  <c r="P155" i="201"/>
  <c r="O155" i="201"/>
  <c r="N155" i="201"/>
  <c r="M155" i="201"/>
  <c r="L155" i="201"/>
  <c r="K155" i="201"/>
  <c r="J155" i="201"/>
  <c r="I155" i="201"/>
  <c r="H155" i="201"/>
  <c r="G155" i="201"/>
  <c r="F155" i="201"/>
  <c r="Q154" i="201"/>
  <c r="P154" i="201"/>
  <c r="O154" i="201"/>
  <c r="N154" i="201"/>
  <c r="M154" i="201"/>
  <c r="L154" i="201"/>
  <c r="K154" i="201"/>
  <c r="J154" i="201"/>
  <c r="I154" i="201"/>
  <c r="H154" i="201"/>
  <c r="G154" i="201"/>
  <c r="F154" i="201"/>
  <c r="Q153" i="201"/>
  <c r="P153" i="201"/>
  <c r="O153" i="201"/>
  <c r="N153" i="201"/>
  <c r="M153" i="201"/>
  <c r="L153" i="201"/>
  <c r="K153" i="201"/>
  <c r="J153" i="201"/>
  <c r="I153" i="201"/>
  <c r="H153" i="201"/>
  <c r="G153" i="201"/>
  <c r="F153" i="201"/>
  <c r="Q152" i="201"/>
  <c r="P152" i="201"/>
  <c r="O152" i="201"/>
  <c r="N152" i="201"/>
  <c r="M152" i="201"/>
  <c r="L152" i="201"/>
  <c r="K152" i="201"/>
  <c r="J152" i="201"/>
  <c r="I152" i="201"/>
  <c r="H152" i="201"/>
  <c r="G152" i="201"/>
  <c r="F152" i="201"/>
  <c r="Q151" i="201"/>
  <c r="P151" i="201"/>
  <c r="O151" i="201"/>
  <c r="N151" i="201"/>
  <c r="M151" i="201"/>
  <c r="L151" i="201"/>
  <c r="K151" i="201"/>
  <c r="J151" i="201"/>
  <c r="I151" i="201"/>
  <c r="H151" i="201"/>
  <c r="G151" i="201"/>
  <c r="F151" i="201"/>
  <c r="Q150" i="201"/>
  <c r="P150" i="201"/>
  <c r="O150" i="201"/>
  <c r="N150" i="201"/>
  <c r="M150" i="201"/>
  <c r="L150" i="201"/>
  <c r="K150" i="201"/>
  <c r="J150" i="201"/>
  <c r="I150" i="201"/>
  <c r="H150" i="201"/>
  <c r="G150" i="201"/>
  <c r="F150" i="201"/>
  <c r="Q149" i="201"/>
  <c r="P149" i="201"/>
  <c r="O149" i="201"/>
  <c r="N149" i="201"/>
  <c r="M149" i="201"/>
  <c r="L149" i="201"/>
  <c r="K149" i="201"/>
  <c r="J149" i="201"/>
  <c r="I149" i="201"/>
  <c r="H149" i="201"/>
  <c r="G149" i="201"/>
  <c r="F149" i="201"/>
  <c r="Q148" i="201"/>
  <c r="P148" i="201"/>
  <c r="O148" i="201"/>
  <c r="N148" i="201"/>
  <c r="M148" i="201"/>
  <c r="L148" i="201"/>
  <c r="K148" i="201"/>
  <c r="J148" i="201"/>
  <c r="I148" i="201"/>
  <c r="H148" i="201"/>
  <c r="G148" i="201"/>
  <c r="F148" i="201"/>
  <c r="Q147" i="201"/>
  <c r="P147" i="201"/>
  <c r="O147" i="201"/>
  <c r="N147" i="201"/>
  <c r="M147" i="201"/>
  <c r="L147" i="201"/>
  <c r="K147" i="201"/>
  <c r="J147" i="201"/>
  <c r="I147" i="201"/>
  <c r="H147" i="201"/>
  <c r="G147" i="201"/>
  <c r="F147" i="201"/>
  <c r="Q146" i="201"/>
  <c r="P146" i="201"/>
  <c r="O146" i="201"/>
  <c r="N146" i="201"/>
  <c r="M146" i="201"/>
  <c r="L146" i="201"/>
  <c r="K146" i="201"/>
  <c r="J146" i="201"/>
  <c r="I146" i="201"/>
  <c r="H146" i="201"/>
  <c r="G146" i="201"/>
  <c r="F146" i="201"/>
  <c r="Q145" i="201"/>
  <c r="P145" i="201"/>
  <c r="O145" i="201"/>
  <c r="N145" i="201"/>
  <c r="M145" i="201"/>
  <c r="L145" i="201"/>
  <c r="K145" i="201"/>
  <c r="J145" i="201"/>
  <c r="I145" i="201"/>
  <c r="H145" i="201"/>
  <c r="G145" i="201"/>
  <c r="F145" i="201"/>
  <c r="Q144" i="201"/>
  <c r="P144" i="201"/>
  <c r="O144" i="201"/>
  <c r="N144" i="201"/>
  <c r="M144" i="201"/>
  <c r="L144" i="201"/>
  <c r="K144" i="201"/>
  <c r="J144" i="201"/>
  <c r="I144" i="201"/>
  <c r="H144" i="201"/>
  <c r="G144" i="201"/>
  <c r="F144" i="201"/>
  <c r="Q143" i="201"/>
  <c r="P143" i="201"/>
  <c r="O143" i="201"/>
  <c r="N143" i="201"/>
  <c r="M143" i="201"/>
  <c r="L143" i="201"/>
  <c r="K143" i="201"/>
  <c r="J143" i="201"/>
  <c r="I143" i="201"/>
  <c r="H143" i="201"/>
  <c r="G143" i="201"/>
  <c r="F143" i="201"/>
  <c r="Q142" i="201"/>
  <c r="P142" i="201"/>
  <c r="O142" i="201"/>
  <c r="N142" i="201"/>
  <c r="M142" i="201"/>
  <c r="L142" i="201"/>
  <c r="K142" i="201"/>
  <c r="J142" i="201"/>
  <c r="I142" i="201"/>
  <c r="H142" i="201"/>
  <c r="G142" i="201"/>
  <c r="F142" i="201"/>
  <c r="Q141" i="201"/>
  <c r="P141" i="201"/>
  <c r="O141" i="201"/>
  <c r="N141" i="201"/>
  <c r="M141" i="201"/>
  <c r="L141" i="201"/>
  <c r="K141" i="201"/>
  <c r="J141" i="201"/>
  <c r="I141" i="201"/>
  <c r="H141" i="201"/>
  <c r="G141" i="201"/>
  <c r="F141" i="201"/>
  <c r="Q140" i="201"/>
  <c r="P140" i="201"/>
  <c r="O140" i="201"/>
  <c r="N140" i="201"/>
  <c r="M140" i="201"/>
  <c r="L140" i="201"/>
  <c r="K140" i="201"/>
  <c r="J140" i="201"/>
  <c r="I140" i="201"/>
  <c r="H140" i="201"/>
  <c r="G140" i="201"/>
  <c r="F140" i="201"/>
  <c r="Q139" i="201"/>
  <c r="P139" i="201"/>
  <c r="O139" i="201"/>
  <c r="N139" i="201"/>
  <c r="M139" i="201"/>
  <c r="L139" i="201"/>
  <c r="K139" i="201"/>
  <c r="J139" i="201"/>
  <c r="I139" i="201"/>
  <c r="H139" i="201"/>
  <c r="G139" i="201"/>
  <c r="F139" i="201"/>
  <c r="Q138" i="201"/>
  <c r="P138" i="201"/>
  <c r="O138" i="201"/>
  <c r="N138" i="201"/>
  <c r="M138" i="201"/>
  <c r="L138" i="201"/>
  <c r="K138" i="201"/>
  <c r="J138" i="201"/>
  <c r="I138" i="201"/>
  <c r="H138" i="201"/>
  <c r="G138" i="201"/>
  <c r="F138" i="201"/>
  <c r="Q137" i="201"/>
  <c r="P137" i="201"/>
  <c r="O137" i="201"/>
  <c r="N137" i="201"/>
  <c r="M137" i="201"/>
  <c r="L137" i="201"/>
  <c r="K137" i="201"/>
  <c r="J137" i="201"/>
  <c r="I137" i="201"/>
  <c r="H137" i="201"/>
  <c r="G137" i="201"/>
  <c r="F137" i="201"/>
  <c r="Q136" i="201"/>
  <c r="P136" i="201"/>
  <c r="O136" i="201"/>
  <c r="N136" i="201"/>
  <c r="M136" i="201"/>
  <c r="L136" i="201"/>
  <c r="K136" i="201"/>
  <c r="J136" i="201"/>
  <c r="I136" i="201"/>
  <c r="H136" i="201"/>
  <c r="G136" i="201"/>
  <c r="F136" i="201"/>
  <c r="Q135" i="201"/>
  <c r="P135" i="201"/>
  <c r="O135" i="201"/>
  <c r="N135" i="201"/>
  <c r="M135" i="201"/>
  <c r="L135" i="201"/>
  <c r="K135" i="201"/>
  <c r="J135" i="201"/>
  <c r="I135" i="201"/>
  <c r="H135" i="201"/>
  <c r="G135" i="201"/>
  <c r="F135" i="201"/>
  <c r="Q134" i="201"/>
  <c r="P134" i="201"/>
  <c r="O134" i="201"/>
  <c r="N134" i="201"/>
  <c r="M134" i="201"/>
  <c r="L134" i="201"/>
  <c r="K134" i="201"/>
  <c r="J134" i="201"/>
  <c r="I134" i="201"/>
  <c r="H134" i="201"/>
  <c r="G134" i="201"/>
  <c r="F134" i="201"/>
  <c r="Q133" i="201"/>
  <c r="P133" i="201"/>
  <c r="O133" i="201"/>
  <c r="N133" i="201"/>
  <c r="M133" i="201"/>
  <c r="L133" i="201"/>
  <c r="K133" i="201"/>
  <c r="J133" i="201"/>
  <c r="I133" i="201"/>
  <c r="H133" i="201"/>
  <c r="G133" i="201"/>
  <c r="F133" i="201"/>
  <c r="Q132" i="201"/>
  <c r="P132" i="201"/>
  <c r="O132" i="201"/>
  <c r="N132" i="201"/>
  <c r="M132" i="201"/>
  <c r="L132" i="201"/>
  <c r="K132" i="201"/>
  <c r="J132" i="201"/>
  <c r="I132" i="201"/>
  <c r="H132" i="201"/>
  <c r="G132" i="201"/>
  <c r="F132" i="201"/>
  <c r="Q131" i="201"/>
  <c r="P131" i="201"/>
  <c r="O131" i="201"/>
  <c r="N131" i="201"/>
  <c r="M131" i="201"/>
  <c r="L131" i="201"/>
  <c r="K131" i="201"/>
  <c r="J131" i="201"/>
  <c r="I131" i="201"/>
  <c r="H131" i="201"/>
  <c r="G131" i="201"/>
  <c r="F131" i="201"/>
  <c r="Q130" i="201"/>
  <c r="P130" i="201"/>
  <c r="O130" i="201"/>
  <c r="N130" i="201"/>
  <c r="M130" i="201"/>
  <c r="L130" i="201"/>
  <c r="K130" i="201"/>
  <c r="J130" i="201"/>
  <c r="I130" i="201"/>
  <c r="H130" i="201"/>
  <c r="G130" i="201"/>
  <c r="F130" i="201"/>
  <c r="Q129" i="201"/>
  <c r="P129" i="201"/>
  <c r="O129" i="201"/>
  <c r="N129" i="201"/>
  <c r="M129" i="201"/>
  <c r="L129" i="201"/>
  <c r="K129" i="201"/>
  <c r="J129" i="201"/>
  <c r="I129" i="201"/>
  <c r="H129" i="201"/>
  <c r="G129" i="201"/>
  <c r="F129" i="201"/>
  <c r="Q128" i="201"/>
  <c r="P128" i="201"/>
  <c r="O128" i="201"/>
  <c r="N128" i="201"/>
  <c r="M128" i="201"/>
  <c r="L128" i="201"/>
  <c r="K128" i="201"/>
  <c r="J128" i="201"/>
  <c r="I128" i="201"/>
  <c r="H128" i="201"/>
  <c r="G128" i="201"/>
  <c r="F128" i="201"/>
  <c r="Q127" i="201"/>
  <c r="P127" i="201"/>
  <c r="O127" i="201"/>
  <c r="N127" i="201"/>
  <c r="M127" i="201"/>
  <c r="L127" i="201"/>
  <c r="K127" i="201"/>
  <c r="J127" i="201"/>
  <c r="I127" i="201"/>
  <c r="H127" i="201"/>
  <c r="G127" i="201"/>
  <c r="F127" i="201"/>
  <c r="Q126" i="201"/>
  <c r="P126" i="201"/>
  <c r="O126" i="201"/>
  <c r="N126" i="201"/>
  <c r="M126" i="201"/>
  <c r="L126" i="201"/>
  <c r="K126" i="201"/>
  <c r="J126" i="201"/>
  <c r="I126" i="201"/>
  <c r="H126" i="201"/>
  <c r="G126" i="201"/>
  <c r="F126" i="201"/>
  <c r="Q125" i="201"/>
  <c r="P125" i="201"/>
  <c r="O125" i="201"/>
  <c r="N125" i="201"/>
  <c r="M125" i="201"/>
  <c r="L125" i="201"/>
  <c r="K125" i="201"/>
  <c r="J125" i="201"/>
  <c r="I125" i="201"/>
  <c r="H125" i="201"/>
  <c r="G125" i="201"/>
  <c r="F125" i="201"/>
  <c r="Q124" i="201"/>
  <c r="P124" i="201"/>
  <c r="O124" i="201"/>
  <c r="N124" i="201"/>
  <c r="M124" i="201"/>
  <c r="L124" i="201"/>
  <c r="K124" i="201"/>
  <c r="J124" i="201"/>
  <c r="I124" i="201"/>
  <c r="H124" i="201"/>
  <c r="G124" i="201"/>
  <c r="F124" i="201"/>
  <c r="Q123" i="201"/>
  <c r="P123" i="201"/>
  <c r="O123" i="201"/>
  <c r="N123" i="201"/>
  <c r="M123" i="201"/>
  <c r="L123" i="201"/>
  <c r="K123" i="201"/>
  <c r="J123" i="201"/>
  <c r="I123" i="201"/>
  <c r="H123" i="201"/>
  <c r="G123" i="201"/>
  <c r="F123" i="201"/>
  <c r="Q122" i="201"/>
  <c r="P122" i="201"/>
  <c r="O122" i="201"/>
  <c r="N122" i="201"/>
  <c r="M122" i="201"/>
  <c r="L122" i="201"/>
  <c r="K122" i="201"/>
  <c r="J122" i="201"/>
  <c r="I122" i="201"/>
  <c r="H122" i="201"/>
  <c r="G122" i="201"/>
  <c r="F122" i="201"/>
  <c r="Q121" i="201"/>
  <c r="P121" i="201"/>
  <c r="O121" i="201"/>
  <c r="N121" i="201"/>
  <c r="M121" i="201"/>
  <c r="L121" i="201"/>
  <c r="K121" i="201"/>
  <c r="J121" i="201"/>
  <c r="I121" i="201"/>
  <c r="H121" i="201"/>
  <c r="G121" i="201"/>
  <c r="F121" i="201"/>
  <c r="Q120" i="201"/>
  <c r="P120" i="201"/>
  <c r="O120" i="201"/>
  <c r="N120" i="201"/>
  <c r="M120" i="201"/>
  <c r="L120" i="201"/>
  <c r="K120" i="201"/>
  <c r="J120" i="201"/>
  <c r="I120" i="201"/>
  <c r="H120" i="201"/>
  <c r="G120" i="201"/>
  <c r="F120" i="201"/>
  <c r="Q119" i="201"/>
  <c r="P119" i="201"/>
  <c r="O119" i="201"/>
  <c r="N119" i="201"/>
  <c r="M119" i="201"/>
  <c r="L119" i="201"/>
  <c r="K119" i="201"/>
  <c r="J119" i="201"/>
  <c r="I119" i="201"/>
  <c r="H119" i="201"/>
  <c r="G119" i="201"/>
  <c r="F119" i="201"/>
  <c r="Q118" i="201"/>
  <c r="P118" i="201"/>
  <c r="O118" i="201"/>
  <c r="N118" i="201"/>
  <c r="M118" i="201"/>
  <c r="L118" i="201"/>
  <c r="K118" i="201"/>
  <c r="J118" i="201"/>
  <c r="I118" i="201"/>
  <c r="H118" i="201"/>
  <c r="G118" i="201"/>
  <c r="F118" i="201"/>
  <c r="Q117" i="201"/>
  <c r="P117" i="201"/>
  <c r="O117" i="201"/>
  <c r="N117" i="201"/>
  <c r="M117" i="201"/>
  <c r="L117" i="201"/>
  <c r="K117" i="201"/>
  <c r="J117" i="201"/>
  <c r="I117" i="201"/>
  <c r="H117" i="201"/>
  <c r="G117" i="201"/>
  <c r="F117" i="201"/>
  <c r="Q116" i="201"/>
  <c r="P116" i="201"/>
  <c r="O116" i="201"/>
  <c r="N116" i="201"/>
  <c r="M116" i="201"/>
  <c r="L116" i="201"/>
  <c r="K116" i="201"/>
  <c r="J116" i="201"/>
  <c r="I116" i="201"/>
  <c r="H116" i="201"/>
  <c r="G116" i="201"/>
  <c r="F116" i="201"/>
  <c r="Q115" i="201"/>
  <c r="P115" i="201"/>
  <c r="O115" i="201"/>
  <c r="N115" i="201"/>
  <c r="M115" i="201"/>
  <c r="L115" i="201"/>
  <c r="K115" i="201"/>
  <c r="J115" i="201"/>
  <c r="I115" i="201"/>
  <c r="H115" i="201"/>
  <c r="G115" i="201"/>
  <c r="F115" i="201"/>
  <c r="Q114" i="201"/>
  <c r="P114" i="201"/>
  <c r="O114" i="201"/>
  <c r="N114" i="201"/>
  <c r="M114" i="201"/>
  <c r="L114" i="201"/>
  <c r="K114" i="201"/>
  <c r="J114" i="201"/>
  <c r="I114" i="201"/>
  <c r="H114" i="201"/>
  <c r="G114" i="201"/>
  <c r="F114" i="201"/>
  <c r="Q113" i="201"/>
  <c r="P113" i="201"/>
  <c r="O113" i="201"/>
  <c r="N113" i="201"/>
  <c r="M113" i="201"/>
  <c r="L113" i="201"/>
  <c r="K113" i="201"/>
  <c r="J113" i="201"/>
  <c r="I113" i="201"/>
  <c r="H113" i="201"/>
  <c r="G113" i="201"/>
  <c r="F113" i="201"/>
  <c r="Q112" i="201"/>
  <c r="P112" i="201"/>
  <c r="O112" i="201"/>
  <c r="N112" i="201"/>
  <c r="M112" i="201"/>
  <c r="L112" i="201"/>
  <c r="K112" i="201"/>
  <c r="J112" i="201"/>
  <c r="I112" i="201"/>
  <c r="H112" i="201"/>
  <c r="G112" i="201"/>
  <c r="F112" i="201"/>
  <c r="Q111" i="201"/>
  <c r="P111" i="201"/>
  <c r="O111" i="201"/>
  <c r="N111" i="201"/>
  <c r="M111" i="201"/>
  <c r="L111" i="201"/>
  <c r="K111" i="201"/>
  <c r="J111" i="201"/>
  <c r="I111" i="201"/>
  <c r="H111" i="201"/>
  <c r="G111" i="201"/>
  <c r="F111" i="201"/>
  <c r="Q110" i="201"/>
  <c r="P110" i="201"/>
  <c r="O110" i="201"/>
  <c r="N110" i="201"/>
  <c r="M110" i="201"/>
  <c r="L110" i="201"/>
  <c r="K110" i="201"/>
  <c r="J110" i="201"/>
  <c r="I110" i="201"/>
  <c r="H110" i="201"/>
  <c r="G110" i="201"/>
  <c r="F110" i="201"/>
  <c r="Q109" i="201"/>
  <c r="P109" i="201"/>
  <c r="O109" i="201"/>
  <c r="N109" i="201"/>
  <c r="M109" i="201"/>
  <c r="L109" i="201"/>
  <c r="K109" i="201"/>
  <c r="J109" i="201"/>
  <c r="I109" i="201"/>
  <c r="H109" i="201"/>
  <c r="G109" i="201"/>
  <c r="F109" i="201"/>
  <c r="Q108" i="201"/>
  <c r="P108" i="201"/>
  <c r="O108" i="201"/>
  <c r="N108" i="201"/>
  <c r="M108" i="201"/>
  <c r="L108" i="201"/>
  <c r="K108" i="201"/>
  <c r="J108" i="201"/>
  <c r="I108" i="201"/>
  <c r="H108" i="201"/>
  <c r="G108" i="201"/>
  <c r="F108" i="201"/>
  <c r="Q107" i="201"/>
  <c r="P107" i="201"/>
  <c r="O107" i="201"/>
  <c r="N107" i="201"/>
  <c r="M107" i="201"/>
  <c r="L107" i="201"/>
  <c r="K107" i="201"/>
  <c r="J107" i="201"/>
  <c r="I107" i="201"/>
  <c r="H107" i="201"/>
  <c r="G107" i="201"/>
  <c r="F107" i="201"/>
  <c r="Q106" i="201"/>
  <c r="P106" i="201"/>
  <c r="O106" i="201"/>
  <c r="N106" i="201"/>
  <c r="M106" i="201"/>
  <c r="L106" i="201"/>
  <c r="K106" i="201"/>
  <c r="J106" i="201"/>
  <c r="I106" i="201"/>
  <c r="H106" i="201"/>
  <c r="G106" i="201"/>
  <c r="F106" i="201"/>
  <c r="Q105" i="201"/>
  <c r="P105" i="201"/>
  <c r="O105" i="201"/>
  <c r="N105" i="201"/>
  <c r="M105" i="201"/>
  <c r="L105" i="201"/>
  <c r="K105" i="201"/>
  <c r="J105" i="201"/>
  <c r="I105" i="201"/>
  <c r="H105" i="201"/>
  <c r="G105" i="201"/>
  <c r="F105" i="201"/>
  <c r="Q104" i="201"/>
  <c r="P104" i="201"/>
  <c r="O104" i="201"/>
  <c r="N104" i="201"/>
  <c r="M104" i="201"/>
  <c r="L104" i="201"/>
  <c r="K104" i="201"/>
  <c r="J104" i="201"/>
  <c r="I104" i="201"/>
  <c r="H104" i="201"/>
  <c r="G104" i="201"/>
  <c r="F104" i="201"/>
  <c r="Q103" i="201"/>
  <c r="P103" i="201"/>
  <c r="O103" i="201"/>
  <c r="N103" i="201"/>
  <c r="M103" i="201"/>
  <c r="L103" i="201"/>
  <c r="K103" i="201"/>
  <c r="J103" i="201"/>
  <c r="I103" i="201"/>
  <c r="H103" i="201"/>
  <c r="G103" i="201"/>
  <c r="F103" i="201"/>
  <c r="Q102" i="201"/>
  <c r="P102" i="201"/>
  <c r="O102" i="201"/>
  <c r="N102" i="201"/>
  <c r="M102" i="201"/>
  <c r="L102" i="201"/>
  <c r="K102" i="201"/>
  <c r="J102" i="201"/>
  <c r="I102" i="201"/>
  <c r="H102" i="201"/>
  <c r="G102" i="201"/>
  <c r="F102" i="201"/>
  <c r="Q101" i="201"/>
  <c r="P101" i="201"/>
  <c r="O101" i="201"/>
  <c r="N101" i="201"/>
  <c r="M101" i="201"/>
  <c r="L101" i="201"/>
  <c r="K101" i="201"/>
  <c r="J101" i="201"/>
  <c r="I101" i="201"/>
  <c r="H101" i="201"/>
  <c r="G101" i="201"/>
  <c r="F101" i="201"/>
  <c r="Q100" i="201"/>
  <c r="P100" i="201"/>
  <c r="O100" i="201"/>
  <c r="N100" i="201"/>
  <c r="M100" i="201"/>
  <c r="L100" i="201"/>
  <c r="K100" i="201"/>
  <c r="J100" i="201"/>
  <c r="I100" i="201"/>
  <c r="H100" i="201"/>
  <c r="G100" i="201"/>
  <c r="F100" i="201"/>
  <c r="Q99" i="201"/>
  <c r="P99" i="201"/>
  <c r="O99" i="201"/>
  <c r="N99" i="201"/>
  <c r="M99" i="201"/>
  <c r="L99" i="201"/>
  <c r="K99" i="201"/>
  <c r="J99" i="201"/>
  <c r="I99" i="201"/>
  <c r="H99" i="201"/>
  <c r="G99" i="201"/>
  <c r="F99" i="201"/>
  <c r="Q98" i="201"/>
  <c r="P98" i="201"/>
  <c r="O98" i="201"/>
  <c r="N98" i="201"/>
  <c r="M98" i="201"/>
  <c r="L98" i="201"/>
  <c r="K98" i="201"/>
  <c r="J98" i="201"/>
  <c r="I98" i="201"/>
  <c r="H98" i="201"/>
  <c r="G98" i="201"/>
  <c r="F98" i="201"/>
  <c r="Q97" i="201"/>
  <c r="P97" i="201"/>
  <c r="O97" i="201"/>
  <c r="N97" i="201"/>
  <c r="M97" i="201"/>
  <c r="L97" i="201"/>
  <c r="K97" i="201"/>
  <c r="J97" i="201"/>
  <c r="I97" i="201"/>
  <c r="H97" i="201"/>
  <c r="G97" i="201"/>
  <c r="F97" i="201"/>
  <c r="Q96" i="201"/>
  <c r="P96" i="201"/>
  <c r="O96" i="201"/>
  <c r="N96" i="201"/>
  <c r="M96" i="201"/>
  <c r="L96" i="201"/>
  <c r="K96" i="201"/>
  <c r="J96" i="201"/>
  <c r="I96" i="201"/>
  <c r="H96" i="201"/>
  <c r="G96" i="201"/>
  <c r="F96" i="201"/>
  <c r="Q95" i="201"/>
  <c r="P95" i="201"/>
  <c r="O95" i="201"/>
  <c r="N95" i="201"/>
  <c r="M95" i="201"/>
  <c r="L95" i="201"/>
  <c r="K95" i="201"/>
  <c r="J95" i="201"/>
  <c r="I95" i="201"/>
  <c r="H95" i="201"/>
  <c r="G95" i="201"/>
  <c r="F95" i="201"/>
  <c r="Q94" i="201"/>
  <c r="P94" i="201"/>
  <c r="O94" i="201"/>
  <c r="N94" i="201"/>
  <c r="M94" i="201"/>
  <c r="L94" i="201"/>
  <c r="K94" i="201"/>
  <c r="J94" i="201"/>
  <c r="I94" i="201"/>
  <c r="H94" i="201"/>
  <c r="G94" i="201"/>
  <c r="F94" i="201"/>
  <c r="Q93" i="201"/>
  <c r="P93" i="201"/>
  <c r="O93" i="201"/>
  <c r="N93" i="201"/>
  <c r="M93" i="201"/>
  <c r="L93" i="201"/>
  <c r="K93" i="201"/>
  <c r="J93" i="201"/>
  <c r="I93" i="201"/>
  <c r="H93" i="201"/>
  <c r="G93" i="201"/>
  <c r="F93" i="201"/>
  <c r="Q92" i="201"/>
  <c r="P92" i="201"/>
  <c r="O92" i="201"/>
  <c r="N92" i="201"/>
  <c r="M92" i="201"/>
  <c r="L92" i="201"/>
  <c r="K92" i="201"/>
  <c r="J92" i="201"/>
  <c r="I92" i="201"/>
  <c r="H92" i="201"/>
  <c r="G92" i="201"/>
  <c r="F92" i="201"/>
  <c r="Q91" i="201"/>
  <c r="P91" i="201"/>
  <c r="O91" i="201"/>
  <c r="N91" i="201"/>
  <c r="M91" i="201"/>
  <c r="L91" i="201"/>
  <c r="K91" i="201"/>
  <c r="J91" i="201"/>
  <c r="I91" i="201"/>
  <c r="H91" i="201"/>
  <c r="G91" i="201"/>
  <c r="F91" i="201"/>
  <c r="Q90" i="201"/>
  <c r="P90" i="201"/>
  <c r="O90" i="201"/>
  <c r="N90" i="201"/>
  <c r="M90" i="201"/>
  <c r="L90" i="201"/>
  <c r="K90" i="201"/>
  <c r="J90" i="201"/>
  <c r="I90" i="201"/>
  <c r="H90" i="201"/>
  <c r="G90" i="201"/>
  <c r="F90" i="201"/>
  <c r="Q89" i="201"/>
  <c r="P89" i="201"/>
  <c r="O89" i="201"/>
  <c r="N89" i="201"/>
  <c r="M89" i="201"/>
  <c r="L89" i="201"/>
  <c r="K89" i="201"/>
  <c r="J89" i="201"/>
  <c r="I89" i="201"/>
  <c r="H89" i="201"/>
  <c r="G89" i="201"/>
  <c r="F89" i="201"/>
  <c r="Q88" i="201"/>
  <c r="P88" i="201"/>
  <c r="O88" i="201"/>
  <c r="N88" i="201"/>
  <c r="M88" i="201"/>
  <c r="L88" i="201"/>
  <c r="K88" i="201"/>
  <c r="J88" i="201"/>
  <c r="I88" i="201"/>
  <c r="H88" i="201"/>
  <c r="G88" i="201"/>
  <c r="F88" i="201"/>
  <c r="Q87" i="201"/>
  <c r="P87" i="201"/>
  <c r="O87" i="201"/>
  <c r="N87" i="201"/>
  <c r="M87" i="201"/>
  <c r="L87" i="201"/>
  <c r="K87" i="201"/>
  <c r="J87" i="201"/>
  <c r="I87" i="201"/>
  <c r="H87" i="201"/>
  <c r="G87" i="201"/>
  <c r="F87" i="201"/>
  <c r="Q86" i="201"/>
  <c r="P86" i="201"/>
  <c r="O86" i="201"/>
  <c r="N86" i="201"/>
  <c r="M86" i="201"/>
  <c r="L86" i="201"/>
  <c r="K86" i="201"/>
  <c r="J86" i="201"/>
  <c r="I86" i="201"/>
  <c r="H86" i="201"/>
  <c r="G86" i="201"/>
  <c r="F86" i="201"/>
  <c r="Q85" i="201"/>
  <c r="P85" i="201"/>
  <c r="O85" i="201"/>
  <c r="N85" i="201"/>
  <c r="M85" i="201"/>
  <c r="L85" i="201"/>
  <c r="K85" i="201"/>
  <c r="J85" i="201"/>
  <c r="I85" i="201"/>
  <c r="H85" i="201"/>
  <c r="G85" i="201"/>
  <c r="F85" i="201"/>
  <c r="Q84" i="201"/>
  <c r="P84" i="201"/>
  <c r="O84" i="201"/>
  <c r="N84" i="201"/>
  <c r="M84" i="201"/>
  <c r="L84" i="201"/>
  <c r="K84" i="201"/>
  <c r="J84" i="201"/>
  <c r="I84" i="201"/>
  <c r="H84" i="201"/>
  <c r="G84" i="201"/>
  <c r="F84" i="201"/>
  <c r="Q83" i="201"/>
  <c r="P83" i="201"/>
  <c r="O83" i="201"/>
  <c r="N83" i="201"/>
  <c r="M83" i="201"/>
  <c r="L83" i="201"/>
  <c r="K83" i="201"/>
  <c r="J83" i="201"/>
  <c r="I83" i="201"/>
  <c r="H83" i="201"/>
  <c r="G83" i="201"/>
  <c r="F83" i="201"/>
  <c r="Q82" i="201"/>
  <c r="P82" i="201"/>
  <c r="O82" i="201"/>
  <c r="N82" i="201"/>
  <c r="M82" i="201"/>
  <c r="L82" i="201"/>
  <c r="K82" i="201"/>
  <c r="J82" i="201"/>
  <c r="I82" i="201"/>
  <c r="H82" i="201"/>
  <c r="G82" i="201"/>
  <c r="F82" i="201"/>
  <c r="Q81" i="201"/>
  <c r="P81" i="201"/>
  <c r="O81" i="201"/>
  <c r="N81" i="201"/>
  <c r="M81" i="201"/>
  <c r="L81" i="201"/>
  <c r="K81" i="201"/>
  <c r="J81" i="201"/>
  <c r="I81" i="201"/>
  <c r="H81" i="201"/>
  <c r="G81" i="201"/>
  <c r="F81" i="201"/>
  <c r="Q80" i="201"/>
  <c r="P80" i="201"/>
  <c r="O80" i="201"/>
  <c r="N80" i="201"/>
  <c r="M80" i="201"/>
  <c r="L80" i="201"/>
  <c r="K80" i="201"/>
  <c r="J80" i="201"/>
  <c r="I80" i="201"/>
  <c r="H80" i="201"/>
  <c r="G80" i="201"/>
  <c r="F80" i="201"/>
  <c r="Q79" i="201"/>
  <c r="P79" i="201"/>
  <c r="O79" i="201"/>
  <c r="N79" i="201"/>
  <c r="M79" i="201"/>
  <c r="L79" i="201"/>
  <c r="K79" i="201"/>
  <c r="J79" i="201"/>
  <c r="I79" i="201"/>
  <c r="H79" i="201"/>
  <c r="G79" i="201"/>
  <c r="F79" i="201"/>
  <c r="Q78" i="201"/>
  <c r="P78" i="201"/>
  <c r="O78" i="201"/>
  <c r="N78" i="201"/>
  <c r="M78" i="201"/>
  <c r="L78" i="201"/>
  <c r="K78" i="201"/>
  <c r="J78" i="201"/>
  <c r="I78" i="201"/>
  <c r="H78" i="201"/>
  <c r="G78" i="201"/>
  <c r="F78" i="201"/>
  <c r="Q77" i="201"/>
  <c r="P77" i="201"/>
  <c r="O77" i="201"/>
  <c r="N77" i="201"/>
  <c r="M77" i="201"/>
  <c r="L77" i="201"/>
  <c r="K77" i="201"/>
  <c r="J77" i="201"/>
  <c r="I77" i="201"/>
  <c r="H77" i="201"/>
  <c r="G77" i="201"/>
  <c r="F77" i="201"/>
  <c r="Q76" i="201"/>
  <c r="P76" i="201"/>
  <c r="O76" i="201"/>
  <c r="N76" i="201"/>
  <c r="M76" i="201"/>
  <c r="L76" i="201"/>
  <c r="K76" i="201"/>
  <c r="J76" i="201"/>
  <c r="I76" i="201"/>
  <c r="H76" i="201"/>
  <c r="G76" i="201"/>
  <c r="F76" i="201"/>
  <c r="Q75" i="201"/>
  <c r="P75" i="201"/>
  <c r="O75" i="201"/>
  <c r="N75" i="201"/>
  <c r="M75" i="201"/>
  <c r="L75" i="201"/>
  <c r="K75" i="201"/>
  <c r="J75" i="201"/>
  <c r="I75" i="201"/>
  <c r="H75" i="201"/>
  <c r="G75" i="201"/>
  <c r="F75" i="201"/>
  <c r="Q74" i="201"/>
  <c r="P74" i="201"/>
  <c r="O74" i="201"/>
  <c r="N74" i="201"/>
  <c r="M74" i="201"/>
  <c r="L74" i="201"/>
  <c r="K74" i="201"/>
  <c r="J74" i="201"/>
  <c r="I74" i="201"/>
  <c r="H74" i="201"/>
  <c r="G74" i="201"/>
  <c r="F74" i="201"/>
  <c r="Q73" i="201"/>
  <c r="P73" i="201"/>
  <c r="O73" i="201"/>
  <c r="N73" i="201"/>
  <c r="M73" i="201"/>
  <c r="L73" i="201"/>
  <c r="K73" i="201"/>
  <c r="J73" i="201"/>
  <c r="I73" i="201"/>
  <c r="H73" i="201"/>
  <c r="G73" i="201"/>
  <c r="F73" i="201"/>
  <c r="Q72" i="201"/>
  <c r="P72" i="201"/>
  <c r="O72" i="201"/>
  <c r="N72" i="201"/>
  <c r="M72" i="201"/>
  <c r="L72" i="201"/>
  <c r="K72" i="201"/>
  <c r="J72" i="201"/>
  <c r="I72" i="201"/>
  <c r="H72" i="201"/>
  <c r="G72" i="201"/>
  <c r="F72" i="201"/>
  <c r="Q71" i="201"/>
  <c r="P71" i="201"/>
  <c r="O71" i="201"/>
  <c r="N71" i="201"/>
  <c r="M71" i="201"/>
  <c r="L71" i="201"/>
  <c r="K71" i="201"/>
  <c r="J71" i="201"/>
  <c r="I71" i="201"/>
  <c r="H71" i="201"/>
  <c r="G71" i="201"/>
  <c r="F71" i="201"/>
  <c r="Q70" i="201"/>
  <c r="P70" i="201"/>
  <c r="O70" i="201"/>
  <c r="N70" i="201"/>
  <c r="M70" i="201"/>
  <c r="L70" i="201"/>
  <c r="K70" i="201"/>
  <c r="J70" i="201"/>
  <c r="I70" i="201"/>
  <c r="H70" i="201"/>
  <c r="G70" i="201"/>
  <c r="F70" i="201"/>
  <c r="Q69" i="201"/>
  <c r="P69" i="201"/>
  <c r="O69" i="201"/>
  <c r="N69" i="201"/>
  <c r="M69" i="201"/>
  <c r="L69" i="201"/>
  <c r="K69" i="201"/>
  <c r="J69" i="201"/>
  <c r="I69" i="201"/>
  <c r="H69" i="201"/>
  <c r="G69" i="201"/>
  <c r="F69" i="201"/>
  <c r="Q68" i="201"/>
  <c r="P68" i="201"/>
  <c r="O68" i="201"/>
  <c r="N68" i="201"/>
  <c r="M68" i="201"/>
  <c r="L68" i="201"/>
  <c r="K68" i="201"/>
  <c r="J68" i="201"/>
  <c r="I68" i="201"/>
  <c r="H68" i="201"/>
  <c r="G68" i="201"/>
  <c r="F68" i="201"/>
  <c r="Q67" i="201"/>
  <c r="P67" i="201"/>
  <c r="O67" i="201"/>
  <c r="N67" i="201"/>
  <c r="M67" i="201"/>
  <c r="L67" i="201"/>
  <c r="K67" i="201"/>
  <c r="J67" i="201"/>
  <c r="I67" i="201"/>
  <c r="H67" i="201"/>
  <c r="G67" i="201"/>
  <c r="F67" i="201"/>
  <c r="Q66" i="201"/>
  <c r="P66" i="201"/>
  <c r="O66" i="201"/>
  <c r="N66" i="201"/>
  <c r="M66" i="201"/>
  <c r="L66" i="201"/>
  <c r="K66" i="201"/>
  <c r="J66" i="201"/>
  <c r="I66" i="201"/>
  <c r="H66" i="201"/>
  <c r="G66" i="201"/>
  <c r="F66" i="201"/>
  <c r="Q65" i="201"/>
  <c r="P65" i="201"/>
  <c r="O65" i="201"/>
  <c r="N65" i="201"/>
  <c r="M65" i="201"/>
  <c r="L65" i="201"/>
  <c r="K65" i="201"/>
  <c r="J65" i="201"/>
  <c r="I65" i="201"/>
  <c r="H65" i="201"/>
  <c r="G65" i="201"/>
  <c r="F65" i="201"/>
  <c r="Q64" i="201"/>
  <c r="P64" i="201"/>
  <c r="O64" i="201"/>
  <c r="N64" i="201"/>
  <c r="M64" i="201"/>
  <c r="L64" i="201"/>
  <c r="K64" i="201"/>
  <c r="J64" i="201"/>
  <c r="I64" i="201"/>
  <c r="H64" i="201"/>
  <c r="G64" i="201"/>
  <c r="F64" i="201"/>
  <c r="Q63" i="201"/>
  <c r="P63" i="201"/>
  <c r="O63" i="201"/>
  <c r="N63" i="201"/>
  <c r="M63" i="201"/>
  <c r="L63" i="201"/>
  <c r="K63" i="201"/>
  <c r="J63" i="201"/>
  <c r="I63" i="201"/>
  <c r="H63" i="201"/>
  <c r="G63" i="201"/>
  <c r="F63" i="201"/>
  <c r="Q62" i="201"/>
  <c r="P62" i="201"/>
  <c r="O62" i="201"/>
  <c r="N62" i="201"/>
  <c r="M62" i="201"/>
  <c r="L62" i="201"/>
  <c r="K62" i="201"/>
  <c r="J62" i="201"/>
  <c r="I62" i="201"/>
  <c r="H62" i="201"/>
  <c r="G62" i="201"/>
  <c r="F62" i="201"/>
  <c r="Q61" i="201"/>
  <c r="P61" i="201"/>
  <c r="O61" i="201"/>
  <c r="N61" i="201"/>
  <c r="M61" i="201"/>
  <c r="L61" i="201"/>
  <c r="K61" i="201"/>
  <c r="J61" i="201"/>
  <c r="I61" i="201"/>
  <c r="H61" i="201"/>
  <c r="G61" i="201"/>
  <c r="F61" i="201"/>
  <c r="Q60" i="201"/>
  <c r="P60" i="201"/>
  <c r="O60" i="201"/>
  <c r="N60" i="201"/>
  <c r="M60" i="201"/>
  <c r="L60" i="201"/>
  <c r="K60" i="201"/>
  <c r="J60" i="201"/>
  <c r="I60" i="201"/>
  <c r="H60" i="201"/>
  <c r="G60" i="201"/>
  <c r="F60" i="201"/>
  <c r="Q59" i="201"/>
  <c r="P59" i="201"/>
  <c r="O59" i="201"/>
  <c r="N59" i="201"/>
  <c r="M59" i="201"/>
  <c r="L59" i="201"/>
  <c r="K59" i="201"/>
  <c r="J59" i="201"/>
  <c r="I59" i="201"/>
  <c r="H59" i="201"/>
  <c r="G59" i="201"/>
  <c r="F59" i="201"/>
  <c r="Q58" i="201"/>
  <c r="P58" i="201"/>
  <c r="O58" i="201"/>
  <c r="N58" i="201"/>
  <c r="M58" i="201"/>
  <c r="L58" i="201"/>
  <c r="K58" i="201"/>
  <c r="J58" i="201"/>
  <c r="I58" i="201"/>
  <c r="H58" i="201"/>
  <c r="G58" i="201"/>
  <c r="F58" i="201"/>
  <c r="Q57" i="201"/>
  <c r="P57" i="201"/>
  <c r="O57" i="201"/>
  <c r="N57" i="201"/>
  <c r="M57" i="201"/>
  <c r="L57" i="201"/>
  <c r="K57" i="201"/>
  <c r="J57" i="201"/>
  <c r="I57" i="201"/>
  <c r="H57" i="201"/>
  <c r="G57" i="201"/>
  <c r="F57" i="201"/>
  <c r="Q56" i="201"/>
  <c r="P56" i="201"/>
  <c r="O56" i="201"/>
  <c r="N56" i="201"/>
  <c r="M56" i="201"/>
  <c r="L56" i="201"/>
  <c r="K56" i="201"/>
  <c r="J56" i="201"/>
  <c r="I56" i="201"/>
  <c r="H56" i="201"/>
  <c r="G56" i="201"/>
  <c r="F56" i="201"/>
  <c r="Q55" i="201"/>
  <c r="P55" i="201"/>
  <c r="O55" i="201"/>
  <c r="N55" i="201"/>
  <c r="M55" i="201"/>
  <c r="L55" i="201"/>
  <c r="K55" i="201"/>
  <c r="J55" i="201"/>
  <c r="I55" i="201"/>
  <c r="H55" i="201"/>
  <c r="G55" i="201"/>
  <c r="F55" i="201"/>
  <c r="Q54" i="201"/>
  <c r="P54" i="201"/>
  <c r="O54" i="201"/>
  <c r="N54" i="201"/>
  <c r="M54" i="201"/>
  <c r="L54" i="201"/>
  <c r="K54" i="201"/>
  <c r="J54" i="201"/>
  <c r="I54" i="201"/>
  <c r="H54" i="201"/>
  <c r="G54" i="201"/>
  <c r="F54" i="201"/>
  <c r="Q53" i="201"/>
  <c r="P53" i="201"/>
  <c r="O53" i="201"/>
  <c r="N53" i="201"/>
  <c r="M53" i="201"/>
  <c r="L53" i="201"/>
  <c r="K53" i="201"/>
  <c r="J53" i="201"/>
  <c r="I53" i="201"/>
  <c r="H53" i="201"/>
  <c r="G53" i="201"/>
  <c r="F53" i="201"/>
  <c r="Q52" i="201"/>
  <c r="P52" i="201"/>
  <c r="O52" i="201"/>
  <c r="N52" i="201"/>
  <c r="M52" i="201"/>
  <c r="L52" i="201"/>
  <c r="K52" i="201"/>
  <c r="J52" i="201"/>
  <c r="I52" i="201"/>
  <c r="H52" i="201"/>
  <c r="G52" i="201"/>
  <c r="F52" i="201"/>
  <c r="Q51" i="201"/>
  <c r="P51" i="201"/>
  <c r="O51" i="201"/>
  <c r="N51" i="201"/>
  <c r="M51" i="201"/>
  <c r="L51" i="201"/>
  <c r="K51" i="201"/>
  <c r="J51" i="201"/>
  <c r="I51" i="201"/>
  <c r="H51" i="201"/>
  <c r="G51" i="201"/>
  <c r="F51" i="201"/>
  <c r="Q50" i="201"/>
  <c r="P50" i="201"/>
  <c r="O50" i="201"/>
  <c r="N50" i="201"/>
  <c r="M50" i="201"/>
  <c r="L50" i="201"/>
  <c r="K50" i="201"/>
  <c r="J50" i="201"/>
  <c r="I50" i="201"/>
  <c r="H50" i="201"/>
  <c r="G50" i="201"/>
  <c r="F50" i="201"/>
  <c r="Q49" i="201"/>
  <c r="P49" i="201"/>
  <c r="O49" i="201"/>
  <c r="N49" i="201"/>
  <c r="M49" i="201"/>
  <c r="L49" i="201"/>
  <c r="K49" i="201"/>
  <c r="J49" i="201"/>
  <c r="I49" i="201"/>
  <c r="H49" i="201"/>
  <c r="G49" i="201"/>
  <c r="F49" i="201"/>
  <c r="Q48" i="201"/>
  <c r="P48" i="201"/>
  <c r="O48" i="201"/>
  <c r="N48" i="201"/>
  <c r="M48" i="201"/>
  <c r="L48" i="201"/>
  <c r="K48" i="201"/>
  <c r="J48" i="201"/>
  <c r="I48" i="201"/>
  <c r="H48" i="201"/>
  <c r="G48" i="201"/>
  <c r="F48" i="201"/>
  <c r="Q47" i="201"/>
  <c r="P47" i="201"/>
  <c r="O47" i="201"/>
  <c r="N47" i="201"/>
  <c r="M47" i="201"/>
  <c r="L47" i="201"/>
  <c r="K47" i="201"/>
  <c r="J47" i="201"/>
  <c r="I47" i="201"/>
  <c r="H47" i="201"/>
  <c r="G47" i="201"/>
  <c r="F47" i="201"/>
  <c r="Q46" i="201"/>
  <c r="P46" i="201"/>
  <c r="O46" i="201"/>
  <c r="N46" i="201"/>
  <c r="M46" i="201"/>
  <c r="L46" i="201"/>
  <c r="K46" i="201"/>
  <c r="J46" i="201"/>
  <c r="I46" i="201"/>
  <c r="H46" i="201"/>
  <c r="G46" i="201"/>
  <c r="F46" i="201"/>
  <c r="Q45" i="201"/>
  <c r="P45" i="201"/>
  <c r="O45" i="201"/>
  <c r="N45" i="201"/>
  <c r="M45" i="201"/>
  <c r="L45" i="201"/>
  <c r="K45" i="201"/>
  <c r="J45" i="201"/>
  <c r="I45" i="201"/>
  <c r="H45" i="201"/>
  <c r="G45" i="201"/>
  <c r="F45" i="201"/>
  <c r="Q44" i="201"/>
  <c r="P44" i="201"/>
  <c r="O44" i="201"/>
  <c r="N44" i="201"/>
  <c r="M44" i="201"/>
  <c r="L44" i="201"/>
  <c r="K44" i="201"/>
  <c r="J44" i="201"/>
  <c r="I44" i="201"/>
  <c r="H44" i="201"/>
  <c r="G44" i="201"/>
  <c r="F44" i="201"/>
  <c r="Q43" i="201"/>
  <c r="P43" i="201"/>
  <c r="O43" i="201"/>
  <c r="N43" i="201"/>
  <c r="M43" i="201"/>
  <c r="L43" i="201"/>
  <c r="K43" i="201"/>
  <c r="J43" i="201"/>
  <c r="I43" i="201"/>
  <c r="H43" i="201"/>
  <c r="G43" i="201"/>
  <c r="F43" i="201"/>
  <c r="Q42" i="201"/>
  <c r="P42" i="201"/>
  <c r="O42" i="201"/>
  <c r="N42" i="201"/>
  <c r="M42" i="201"/>
  <c r="L42" i="201"/>
  <c r="K42" i="201"/>
  <c r="J42" i="201"/>
  <c r="I42" i="201"/>
  <c r="H42" i="201"/>
  <c r="G42" i="201"/>
  <c r="F42" i="201"/>
  <c r="Q41" i="201"/>
  <c r="P41" i="201"/>
  <c r="O41" i="201"/>
  <c r="N41" i="201"/>
  <c r="M41" i="201"/>
  <c r="L41" i="201"/>
  <c r="K41" i="201"/>
  <c r="J41" i="201"/>
  <c r="I41" i="201"/>
  <c r="H41" i="201"/>
  <c r="G41" i="201"/>
  <c r="F41" i="201"/>
  <c r="Q40" i="201"/>
  <c r="P40" i="201"/>
  <c r="O40" i="201"/>
  <c r="N40" i="201"/>
  <c r="M40" i="201"/>
  <c r="L40" i="201"/>
  <c r="K40" i="201"/>
  <c r="J40" i="201"/>
  <c r="I40" i="201"/>
  <c r="H40" i="201"/>
  <c r="G40" i="201"/>
  <c r="F40" i="201"/>
  <c r="Q39" i="201"/>
  <c r="P39" i="201"/>
  <c r="O39" i="201"/>
  <c r="N39" i="201"/>
  <c r="M39" i="201"/>
  <c r="L39" i="201"/>
  <c r="K39" i="201"/>
  <c r="J39" i="201"/>
  <c r="I39" i="201"/>
  <c r="H39" i="201"/>
  <c r="G39" i="201"/>
  <c r="F39" i="201"/>
  <c r="Q38" i="201"/>
  <c r="P38" i="201"/>
  <c r="O38" i="201"/>
  <c r="N38" i="201"/>
  <c r="M38" i="201"/>
  <c r="L38" i="201"/>
  <c r="K38" i="201"/>
  <c r="J38" i="201"/>
  <c r="I38" i="201"/>
  <c r="H38" i="201"/>
  <c r="G38" i="201"/>
  <c r="F38" i="201"/>
  <c r="Q37" i="201"/>
  <c r="P37" i="201"/>
  <c r="O37" i="201"/>
  <c r="N37" i="201"/>
  <c r="M37" i="201"/>
  <c r="L37" i="201"/>
  <c r="K37" i="201"/>
  <c r="J37" i="201"/>
  <c r="I37" i="201"/>
  <c r="H37" i="201"/>
  <c r="G37" i="201"/>
  <c r="F37" i="201"/>
  <c r="Q36" i="201"/>
  <c r="P36" i="201"/>
  <c r="O36" i="201"/>
  <c r="N36" i="201"/>
  <c r="M36" i="201"/>
  <c r="L36" i="201"/>
  <c r="K36" i="201"/>
  <c r="J36" i="201"/>
  <c r="I36" i="201"/>
  <c r="H36" i="201"/>
  <c r="G36" i="201"/>
  <c r="F36" i="201"/>
  <c r="Q35" i="201"/>
  <c r="P35" i="201"/>
  <c r="O35" i="201"/>
  <c r="N35" i="201"/>
  <c r="M35" i="201"/>
  <c r="L35" i="201"/>
  <c r="K35" i="201"/>
  <c r="J35" i="201"/>
  <c r="I35" i="201"/>
  <c r="H35" i="201"/>
  <c r="G35" i="201"/>
  <c r="F35" i="201"/>
  <c r="Q34" i="201"/>
  <c r="P34" i="201"/>
  <c r="O34" i="201"/>
  <c r="N34" i="201"/>
  <c r="M34" i="201"/>
  <c r="L34" i="201"/>
  <c r="K34" i="201"/>
  <c r="J34" i="201"/>
  <c r="I34" i="201"/>
  <c r="H34" i="201"/>
  <c r="G34" i="201"/>
  <c r="F34" i="201"/>
  <c r="Q33" i="201"/>
  <c r="P33" i="201"/>
  <c r="O33" i="201"/>
  <c r="N33" i="201"/>
  <c r="M33" i="201"/>
  <c r="L33" i="201"/>
  <c r="K33" i="201"/>
  <c r="J33" i="201"/>
  <c r="I33" i="201"/>
  <c r="H33" i="201"/>
  <c r="G33" i="201"/>
  <c r="F33" i="201"/>
  <c r="Q32" i="201"/>
  <c r="P32" i="201"/>
  <c r="O32" i="201"/>
  <c r="N32" i="201"/>
  <c r="M32" i="201"/>
  <c r="L32" i="201"/>
  <c r="K32" i="201"/>
  <c r="J32" i="201"/>
  <c r="I32" i="201"/>
  <c r="H32" i="201"/>
  <c r="G32" i="201"/>
  <c r="F32" i="201"/>
  <c r="Q31" i="201"/>
  <c r="P31" i="201"/>
  <c r="O31" i="201"/>
  <c r="N31" i="201"/>
  <c r="M31" i="201"/>
  <c r="L31" i="201"/>
  <c r="K31" i="201"/>
  <c r="J31" i="201"/>
  <c r="I31" i="201"/>
  <c r="H31" i="201"/>
  <c r="G31" i="201"/>
  <c r="F31" i="201"/>
  <c r="Q30" i="201"/>
  <c r="P30" i="201"/>
  <c r="O30" i="201"/>
  <c r="N30" i="201"/>
  <c r="M30" i="201"/>
  <c r="L30" i="201"/>
  <c r="K30" i="201"/>
  <c r="J30" i="201"/>
  <c r="I30" i="201"/>
  <c r="H30" i="201"/>
  <c r="G30" i="201"/>
  <c r="F30" i="201"/>
  <c r="Q29" i="201"/>
  <c r="P29" i="201"/>
  <c r="O29" i="201"/>
  <c r="N29" i="201"/>
  <c r="M29" i="201"/>
  <c r="L29" i="201"/>
  <c r="K29" i="201"/>
  <c r="J29" i="201"/>
  <c r="I29" i="201"/>
  <c r="H29" i="201"/>
  <c r="G29" i="201"/>
  <c r="F29" i="201"/>
  <c r="Q28" i="201"/>
  <c r="P28" i="201"/>
  <c r="O28" i="201"/>
  <c r="N28" i="201"/>
  <c r="M28" i="201"/>
  <c r="L28" i="201"/>
  <c r="K28" i="201"/>
  <c r="J28" i="201"/>
  <c r="I28" i="201"/>
  <c r="H28" i="201"/>
  <c r="G28" i="201"/>
  <c r="F28" i="201"/>
  <c r="Q25" i="201"/>
  <c r="P25" i="201"/>
  <c r="O25" i="201"/>
  <c r="N25" i="201"/>
  <c r="M25" i="201"/>
  <c r="L25" i="201"/>
  <c r="K25" i="201"/>
  <c r="J25" i="201"/>
  <c r="I25" i="201"/>
  <c r="H25" i="201"/>
  <c r="G25" i="201"/>
  <c r="F25" i="201"/>
  <c r="Q164" i="200"/>
  <c r="O164" i="200"/>
  <c r="M164" i="200"/>
  <c r="K164" i="200"/>
  <c r="I164" i="200"/>
  <c r="G164" i="200"/>
  <c r="Q163" i="200"/>
  <c r="P163" i="200"/>
  <c r="O163" i="200"/>
  <c r="N163" i="200"/>
  <c r="M163" i="200"/>
  <c r="L163" i="200"/>
  <c r="K163" i="200"/>
  <c r="J163" i="200"/>
  <c r="I163" i="200"/>
  <c r="H163" i="200"/>
  <c r="G163" i="200"/>
  <c r="F163" i="200"/>
  <c r="Q162" i="200"/>
  <c r="P162" i="200"/>
  <c r="O162" i="200"/>
  <c r="N162" i="200"/>
  <c r="M162" i="200"/>
  <c r="L162" i="200"/>
  <c r="K162" i="200"/>
  <c r="J162" i="200"/>
  <c r="I162" i="200"/>
  <c r="H162" i="200"/>
  <c r="G162" i="200"/>
  <c r="F162" i="200"/>
  <c r="Q161" i="200"/>
  <c r="P161" i="200"/>
  <c r="O161" i="200"/>
  <c r="N161" i="200"/>
  <c r="M161" i="200"/>
  <c r="L161" i="200"/>
  <c r="K161" i="200"/>
  <c r="J161" i="200"/>
  <c r="I161" i="200"/>
  <c r="H161" i="200"/>
  <c r="G161" i="200"/>
  <c r="F161" i="200"/>
  <c r="Q160" i="200"/>
  <c r="P160" i="200"/>
  <c r="O160" i="200"/>
  <c r="N160" i="200"/>
  <c r="M160" i="200"/>
  <c r="L160" i="200"/>
  <c r="K160" i="200"/>
  <c r="J160" i="200"/>
  <c r="I160" i="200"/>
  <c r="H160" i="200"/>
  <c r="G160" i="200"/>
  <c r="F160" i="200"/>
  <c r="Q159" i="200"/>
  <c r="P159" i="200"/>
  <c r="O159" i="200"/>
  <c r="N159" i="200"/>
  <c r="M159" i="200"/>
  <c r="L159" i="200"/>
  <c r="K159" i="200"/>
  <c r="J159" i="200"/>
  <c r="I159" i="200"/>
  <c r="H159" i="200"/>
  <c r="G159" i="200"/>
  <c r="F159" i="200"/>
  <c r="Q158" i="200"/>
  <c r="P158" i="200"/>
  <c r="O158" i="200"/>
  <c r="N158" i="200"/>
  <c r="M158" i="200"/>
  <c r="L158" i="200"/>
  <c r="K158" i="200"/>
  <c r="J158" i="200"/>
  <c r="I158" i="200"/>
  <c r="H158" i="200"/>
  <c r="G158" i="200"/>
  <c r="F158" i="200"/>
  <c r="Q157" i="200"/>
  <c r="P157" i="200"/>
  <c r="O157" i="200"/>
  <c r="N157" i="200"/>
  <c r="M157" i="200"/>
  <c r="L157" i="200"/>
  <c r="K157" i="200"/>
  <c r="J157" i="200"/>
  <c r="I157" i="200"/>
  <c r="H157" i="200"/>
  <c r="G157" i="200"/>
  <c r="F157" i="200"/>
  <c r="Q156" i="200"/>
  <c r="P156" i="200"/>
  <c r="O156" i="200"/>
  <c r="N156" i="200"/>
  <c r="M156" i="200"/>
  <c r="L156" i="200"/>
  <c r="K156" i="200"/>
  <c r="J156" i="200"/>
  <c r="I156" i="200"/>
  <c r="H156" i="200"/>
  <c r="G156" i="200"/>
  <c r="F156" i="200"/>
  <c r="Q155" i="200"/>
  <c r="P155" i="200"/>
  <c r="O155" i="200"/>
  <c r="N155" i="200"/>
  <c r="M155" i="200"/>
  <c r="L155" i="200"/>
  <c r="K155" i="200"/>
  <c r="J155" i="200"/>
  <c r="I155" i="200"/>
  <c r="H155" i="200"/>
  <c r="G155" i="200"/>
  <c r="F155" i="200"/>
  <c r="Q154" i="200"/>
  <c r="P154" i="200"/>
  <c r="O154" i="200"/>
  <c r="N154" i="200"/>
  <c r="M154" i="200"/>
  <c r="L154" i="200"/>
  <c r="K154" i="200"/>
  <c r="J154" i="200"/>
  <c r="I154" i="200"/>
  <c r="H154" i="200"/>
  <c r="G154" i="200"/>
  <c r="F154" i="200"/>
  <c r="Q153" i="200"/>
  <c r="P153" i="200"/>
  <c r="O153" i="200"/>
  <c r="N153" i="200"/>
  <c r="M153" i="200"/>
  <c r="L153" i="200"/>
  <c r="K153" i="200"/>
  <c r="J153" i="200"/>
  <c r="I153" i="200"/>
  <c r="H153" i="200"/>
  <c r="G153" i="200"/>
  <c r="F153" i="200"/>
  <c r="Q152" i="200"/>
  <c r="P152" i="200"/>
  <c r="O152" i="200"/>
  <c r="N152" i="200"/>
  <c r="M152" i="200"/>
  <c r="L152" i="200"/>
  <c r="K152" i="200"/>
  <c r="J152" i="200"/>
  <c r="I152" i="200"/>
  <c r="H152" i="200"/>
  <c r="G152" i="200"/>
  <c r="F152" i="200"/>
  <c r="Q151" i="200"/>
  <c r="P151" i="200"/>
  <c r="O151" i="200"/>
  <c r="N151" i="200"/>
  <c r="M151" i="200"/>
  <c r="L151" i="200"/>
  <c r="K151" i="200"/>
  <c r="J151" i="200"/>
  <c r="I151" i="200"/>
  <c r="H151" i="200"/>
  <c r="G151" i="200"/>
  <c r="F151" i="200"/>
  <c r="Q150" i="200"/>
  <c r="P150" i="200"/>
  <c r="O150" i="200"/>
  <c r="N150" i="200"/>
  <c r="M150" i="200"/>
  <c r="L150" i="200"/>
  <c r="K150" i="200"/>
  <c r="J150" i="200"/>
  <c r="I150" i="200"/>
  <c r="H150" i="200"/>
  <c r="G150" i="200"/>
  <c r="F150" i="200"/>
  <c r="Q149" i="200"/>
  <c r="P149" i="200"/>
  <c r="O149" i="200"/>
  <c r="N149" i="200"/>
  <c r="M149" i="200"/>
  <c r="L149" i="200"/>
  <c r="K149" i="200"/>
  <c r="J149" i="200"/>
  <c r="I149" i="200"/>
  <c r="H149" i="200"/>
  <c r="G149" i="200"/>
  <c r="F149" i="200"/>
  <c r="Q148" i="200"/>
  <c r="P148" i="200"/>
  <c r="O148" i="200"/>
  <c r="N148" i="200"/>
  <c r="M148" i="200"/>
  <c r="L148" i="200"/>
  <c r="K148" i="200"/>
  <c r="J148" i="200"/>
  <c r="I148" i="200"/>
  <c r="H148" i="200"/>
  <c r="G148" i="200"/>
  <c r="F148" i="200"/>
  <c r="Q147" i="200"/>
  <c r="P147" i="200"/>
  <c r="O147" i="200"/>
  <c r="N147" i="200"/>
  <c r="M147" i="200"/>
  <c r="L147" i="200"/>
  <c r="K147" i="200"/>
  <c r="J147" i="200"/>
  <c r="I147" i="200"/>
  <c r="H147" i="200"/>
  <c r="G147" i="200"/>
  <c r="F147" i="200"/>
  <c r="Q146" i="200"/>
  <c r="P146" i="200"/>
  <c r="O146" i="200"/>
  <c r="N146" i="200"/>
  <c r="M146" i="200"/>
  <c r="L146" i="200"/>
  <c r="K146" i="200"/>
  <c r="J146" i="200"/>
  <c r="I146" i="200"/>
  <c r="H146" i="200"/>
  <c r="G146" i="200"/>
  <c r="F146" i="200"/>
  <c r="Q145" i="200"/>
  <c r="P145" i="200"/>
  <c r="O145" i="200"/>
  <c r="N145" i="200"/>
  <c r="M145" i="200"/>
  <c r="L145" i="200"/>
  <c r="K145" i="200"/>
  <c r="J145" i="200"/>
  <c r="I145" i="200"/>
  <c r="H145" i="200"/>
  <c r="G145" i="200"/>
  <c r="F145" i="200"/>
  <c r="Q144" i="200"/>
  <c r="P144" i="200"/>
  <c r="O144" i="200"/>
  <c r="N144" i="200"/>
  <c r="M144" i="200"/>
  <c r="L144" i="200"/>
  <c r="K144" i="200"/>
  <c r="J144" i="200"/>
  <c r="I144" i="200"/>
  <c r="H144" i="200"/>
  <c r="G144" i="200"/>
  <c r="F144" i="200"/>
  <c r="Q143" i="200"/>
  <c r="P143" i="200"/>
  <c r="O143" i="200"/>
  <c r="N143" i="200"/>
  <c r="M143" i="200"/>
  <c r="L143" i="200"/>
  <c r="K143" i="200"/>
  <c r="J143" i="200"/>
  <c r="I143" i="200"/>
  <c r="H143" i="200"/>
  <c r="G143" i="200"/>
  <c r="F143" i="200"/>
  <c r="Q142" i="200"/>
  <c r="P142" i="200"/>
  <c r="O142" i="200"/>
  <c r="N142" i="200"/>
  <c r="M142" i="200"/>
  <c r="L142" i="200"/>
  <c r="K142" i="200"/>
  <c r="J142" i="200"/>
  <c r="I142" i="200"/>
  <c r="H142" i="200"/>
  <c r="G142" i="200"/>
  <c r="F142" i="200"/>
  <c r="Q141" i="200"/>
  <c r="P141" i="200"/>
  <c r="O141" i="200"/>
  <c r="N141" i="200"/>
  <c r="M141" i="200"/>
  <c r="L141" i="200"/>
  <c r="K141" i="200"/>
  <c r="J141" i="200"/>
  <c r="I141" i="200"/>
  <c r="H141" i="200"/>
  <c r="G141" i="200"/>
  <c r="F141" i="200"/>
  <c r="Q140" i="200"/>
  <c r="P140" i="200"/>
  <c r="O140" i="200"/>
  <c r="N140" i="200"/>
  <c r="M140" i="200"/>
  <c r="L140" i="200"/>
  <c r="K140" i="200"/>
  <c r="J140" i="200"/>
  <c r="I140" i="200"/>
  <c r="H140" i="200"/>
  <c r="G140" i="200"/>
  <c r="F140" i="200"/>
  <c r="Q139" i="200"/>
  <c r="P139" i="200"/>
  <c r="O139" i="200"/>
  <c r="N139" i="200"/>
  <c r="M139" i="200"/>
  <c r="L139" i="200"/>
  <c r="K139" i="200"/>
  <c r="J139" i="200"/>
  <c r="I139" i="200"/>
  <c r="H139" i="200"/>
  <c r="G139" i="200"/>
  <c r="F139" i="200"/>
  <c r="Q138" i="200"/>
  <c r="P138" i="200"/>
  <c r="O138" i="200"/>
  <c r="N138" i="200"/>
  <c r="M138" i="200"/>
  <c r="L138" i="200"/>
  <c r="K138" i="200"/>
  <c r="J138" i="200"/>
  <c r="I138" i="200"/>
  <c r="H138" i="200"/>
  <c r="G138" i="200"/>
  <c r="F138" i="200"/>
  <c r="Q137" i="200"/>
  <c r="P137" i="200"/>
  <c r="O137" i="200"/>
  <c r="N137" i="200"/>
  <c r="M137" i="200"/>
  <c r="L137" i="200"/>
  <c r="K137" i="200"/>
  <c r="J137" i="200"/>
  <c r="I137" i="200"/>
  <c r="H137" i="200"/>
  <c r="G137" i="200"/>
  <c r="F137" i="200"/>
  <c r="Q136" i="200"/>
  <c r="P136" i="200"/>
  <c r="O136" i="200"/>
  <c r="N136" i="200"/>
  <c r="M136" i="200"/>
  <c r="L136" i="200"/>
  <c r="K136" i="200"/>
  <c r="J136" i="200"/>
  <c r="I136" i="200"/>
  <c r="H136" i="200"/>
  <c r="G136" i="200"/>
  <c r="F136" i="200"/>
  <c r="Q135" i="200"/>
  <c r="P135" i="200"/>
  <c r="O135" i="200"/>
  <c r="N135" i="200"/>
  <c r="M135" i="200"/>
  <c r="L135" i="200"/>
  <c r="K135" i="200"/>
  <c r="J135" i="200"/>
  <c r="I135" i="200"/>
  <c r="H135" i="200"/>
  <c r="G135" i="200"/>
  <c r="F135" i="200"/>
  <c r="Q134" i="200"/>
  <c r="P134" i="200"/>
  <c r="O134" i="200"/>
  <c r="N134" i="200"/>
  <c r="M134" i="200"/>
  <c r="L134" i="200"/>
  <c r="K134" i="200"/>
  <c r="J134" i="200"/>
  <c r="I134" i="200"/>
  <c r="H134" i="200"/>
  <c r="G134" i="200"/>
  <c r="F134" i="200"/>
  <c r="Q133" i="200"/>
  <c r="P133" i="200"/>
  <c r="O133" i="200"/>
  <c r="N133" i="200"/>
  <c r="M133" i="200"/>
  <c r="L133" i="200"/>
  <c r="K133" i="200"/>
  <c r="J133" i="200"/>
  <c r="I133" i="200"/>
  <c r="H133" i="200"/>
  <c r="G133" i="200"/>
  <c r="F133" i="200"/>
  <c r="Q132" i="200"/>
  <c r="P132" i="200"/>
  <c r="O132" i="200"/>
  <c r="N132" i="200"/>
  <c r="M132" i="200"/>
  <c r="L132" i="200"/>
  <c r="K132" i="200"/>
  <c r="J132" i="200"/>
  <c r="I132" i="200"/>
  <c r="H132" i="200"/>
  <c r="G132" i="200"/>
  <c r="F132" i="200"/>
  <c r="Q131" i="200"/>
  <c r="P131" i="200"/>
  <c r="O131" i="200"/>
  <c r="N131" i="200"/>
  <c r="M131" i="200"/>
  <c r="L131" i="200"/>
  <c r="K131" i="200"/>
  <c r="J131" i="200"/>
  <c r="I131" i="200"/>
  <c r="H131" i="200"/>
  <c r="G131" i="200"/>
  <c r="F131" i="200"/>
  <c r="Q130" i="200"/>
  <c r="P130" i="200"/>
  <c r="O130" i="200"/>
  <c r="N130" i="200"/>
  <c r="M130" i="200"/>
  <c r="L130" i="200"/>
  <c r="K130" i="200"/>
  <c r="J130" i="200"/>
  <c r="I130" i="200"/>
  <c r="H130" i="200"/>
  <c r="G130" i="200"/>
  <c r="F130" i="200"/>
  <c r="Q129" i="200"/>
  <c r="P129" i="200"/>
  <c r="O129" i="200"/>
  <c r="N129" i="200"/>
  <c r="M129" i="200"/>
  <c r="L129" i="200"/>
  <c r="K129" i="200"/>
  <c r="J129" i="200"/>
  <c r="I129" i="200"/>
  <c r="H129" i="200"/>
  <c r="G129" i="200"/>
  <c r="F129" i="200"/>
  <c r="Q128" i="200"/>
  <c r="P128" i="200"/>
  <c r="O128" i="200"/>
  <c r="N128" i="200"/>
  <c r="M128" i="200"/>
  <c r="L128" i="200"/>
  <c r="K128" i="200"/>
  <c r="J128" i="200"/>
  <c r="I128" i="200"/>
  <c r="H128" i="200"/>
  <c r="G128" i="200"/>
  <c r="F128" i="200"/>
  <c r="Q127" i="200"/>
  <c r="P127" i="200"/>
  <c r="O127" i="200"/>
  <c r="N127" i="200"/>
  <c r="M127" i="200"/>
  <c r="L127" i="200"/>
  <c r="K127" i="200"/>
  <c r="J127" i="200"/>
  <c r="I127" i="200"/>
  <c r="H127" i="200"/>
  <c r="G127" i="200"/>
  <c r="F127" i="200"/>
  <c r="Q126" i="200"/>
  <c r="P126" i="200"/>
  <c r="O126" i="200"/>
  <c r="N126" i="200"/>
  <c r="M126" i="200"/>
  <c r="L126" i="200"/>
  <c r="K126" i="200"/>
  <c r="J126" i="200"/>
  <c r="I126" i="200"/>
  <c r="H126" i="200"/>
  <c r="G126" i="200"/>
  <c r="F126" i="200"/>
  <c r="Q125" i="200"/>
  <c r="P125" i="200"/>
  <c r="O125" i="200"/>
  <c r="N125" i="200"/>
  <c r="M125" i="200"/>
  <c r="L125" i="200"/>
  <c r="K125" i="200"/>
  <c r="J125" i="200"/>
  <c r="I125" i="200"/>
  <c r="H125" i="200"/>
  <c r="G125" i="200"/>
  <c r="F125" i="200"/>
  <c r="Q124" i="200"/>
  <c r="P124" i="200"/>
  <c r="O124" i="200"/>
  <c r="N124" i="200"/>
  <c r="M124" i="200"/>
  <c r="L124" i="200"/>
  <c r="K124" i="200"/>
  <c r="J124" i="200"/>
  <c r="I124" i="200"/>
  <c r="H124" i="200"/>
  <c r="G124" i="200"/>
  <c r="F124" i="200"/>
  <c r="Q123" i="200"/>
  <c r="P123" i="200"/>
  <c r="O123" i="200"/>
  <c r="N123" i="200"/>
  <c r="M123" i="200"/>
  <c r="L123" i="200"/>
  <c r="K123" i="200"/>
  <c r="J123" i="200"/>
  <c r="I123" i="200"/>
  <c r="H123" i="200"/>
  <c r="G123" i="200"/>
  <c r="F123" i="200"/>
  <c r="Q122" i="200"/>
  <c r="P122" i="200"/>
  <c r="O122" i="200"/>
  <c r="N122" i="200"/>
  <c r="M122" i="200"/>
  <c r="L122" i="200"/>
  <c r="K122" i="200"/>
  <c r="J122" i="200"/>
  <c r="I122" i="200"/>
  <c r="H122" i="200"/>
  <c r="G122" i="200"/>
  <c r="F122" i="200"/>
  <c r="Q121" i="200"/>
  <c r="P121" i="200"/>
  <c r="O121" i="200"/>
  <c r="N121" i="200"/>
  <c r="M121" i="200"/>
  <c r="L121" i="200"/>
  <c r="K121" i="200"/>
  <c r="J121" i="200"/>
  <c r="I121" i="200"/>
  <c r="H121" i="200"/>
  <c r="G121" i="200"/>
  <c r="F121" i="200"/>
  <c r="Q120" i="200"/>
  <c r="P120" i="200"/>
  <c r="O120" i="200"/>
  <c r="N120" i="200"/>
  <c r="M120" i="200"/>
  <c r="L120" i="200"/>
  <c r="K120" i="200"/>
  <c r="J120" i="200"/>
  <c r="I120" i="200"/>
  <c r="H120" i="200"/>
  <c r="G120" i="200"/>
  <c r="F120" i="200"/>
  <c r="Q119" i="200"/>
  <c r="P119" i="200"/>
  <c r="O119" i="200"/>
  <c r="N119" i="200"/>
  <c r="M119" i="200"/>
  <c r="L119" i="200"/>
  <c r="K119" i="200"/>
  <c r="J119" i="200"/>
  <c r="I119" i="200"/>
  <c r="H119" i="200"/>
  <c r="G119" i="200"/>
  <c r="F119" i="200"/>
  <c r="Q118" i="200"/>
  <c r="P118" i="200"/>
  <c r="O118" i="200"/>
  <c r="N118" i="200"/>
  <c r="M118" i="200"/>
  <c r="L118" i="200"/>
  <c r="K118" i="200"/>
  <c r="J118" i="200"/>
  <c r="I118" i="200"/>
  <c r="H118" i="200"/>
  <c r="G118" i="200"/>
  <c r="F118" i="200"/>
  <c r="Q117" i="200"/>
  <c r="P117" i="200"/>
  <c r="O117" i="200"/>
  <c r="N117" i="200"/>
  <c r="M117" i="200"/>
  <c r="L117" i="200"/>
  <c r="K117" i="200"/>
  <c r="J117" i="200"/>
  <c r="I117" i="200"/>
  <c r="H117" i="200"/>
  <c r="G117" i="200"/>
  <c r="F117" i="200"/>
  <c r="Q116" i="200"/>
  <c r="P116" i="200"/>
  <c r="O116" i="200"/>
  <c r="N116" i="200"/>
  <c r="M116" i="200"/>
  <c r="L116" i="200"/>
  <c r="K116" i="200"/>
  <c r="J116" i="200"/>
  <c r="I116" i="200"/>
  <c r="H116" i="200"/>
  <c r="G116" i="200"/>
  <c r="F116" i="200"/>
  <c r="Q115" i="200"/>
  <c r="P115" i="200"/>
  <c r="O115" i="200"/>
  <c r="N115" i="200"/>
  <c r="M115" i="200"/>
  <c r="L115" i="200"/>
  <c r="K115" i="200"/>
  <c r="J115" i="200"/>
  <c r="I115" i="200"/>
  <c r="H115" i="200"/>
  <c r="G115" i="200"/>
  <c r="F115" i="200"/>
  <c r="Q114" i="200"/>
  <c r="P114" i="200"/>
  <c r="O114" i="200"/>
  <c r="N114" i="200"/>
  <c r="M114" i="200"/>
  <c r="L114" i="200"/>
  <c r="K114" i="200"/>
  <c r="J114" i="200"/>
  <c r="I114" i="200"/>
  <c r="H114" i="200"/>
  <c r="G114" i="200"/>
  <c r="F114" i="200"/>
  <c r="Q113" i="200"/>
  <c r="P113" i="200"/>
  <c r="O113" i="200"/>
  <c r="N113" i="200"/>
  <c r="M113" i="200"/>
  <c r="L113" i="200"/>
  <c r="K113" i="200"/>
  <c r="J113" i="200"/>
  <c r="I113" i="200"/>
  <c r="H113" i="200"/>
  <c r="G113" i="200"/>
  <c r="F113" i="200"/>
  <c r="Q112" i="200"/>
  <c r="P112" i="200"/>
  <c r="O112" i="200"/>
  <c r="N112" i="200"/>
  <c r="M112" i="200"/>
  <c r="L112" i="200"/>
  <c r="K112" i="200"/>
  <c r="J112" i="200"/>
  <c r="I112" i="200"/>
  <c r="H112" i="200"/>
  <c r="G112" i="200"/>
  <c r="F112" i="200"/>
  <c r="Q111" i="200"/>
  <c r="P111" i="200"/>
  <c r="O111" i="200"/>
  <c r="N111" i="200"/>
  <c r="M111" i="200"/>
  <c r="L111" i="200"/>
  <c r="K111" i="200"/>
  <c r="J111" i="200"/>
  <c r="I111" i="200"/>
  <c r="H111" i="200"/>
  <c r="G111" i="200"/>
  <c r="F111" i="200"/>
  <c r="Q110" i="200"/>
  <c r="P110" i="200"/>
  <c r="O110" i="200"/>
  <c r="N110" i="200"/>
  <c r="M110" i="200"/>
  <c r="L110" i="200"/>
  <c r="K110" i="200"/>
  <c r="J110" i="200"/>
  <c r="I110" i="200"/>
  <c r="H110" i="200"/>
  <c r="G110" i="200"/>
  <c r="F110" i="200"/>
  <c r="Q109" i="200"/>
  <c r="P109" i="200"/>
  <c r="O109" i="200"/>
  <c r="N109" i="200"/>
  <c r="M109" i="200"/>
  <c r="L109" i="200"/>
  <c r="K109" i="200"/>
  <c r="J109" i="200"/>
  <c r="I109" i="200"/>
  <c r="H109" i="200"/>
  <c r="G109" i="200"/>
  <c r="F109" i="200"/>
  <c r="Q108" i="200"/>
  <c r="P108" i="200"/>
  <c r="O108" i="200"/>
  <c r="N108" i="200"/>
  <c r="M108" i="200"/>
  <c r="L108" i="200"/>
  <c r="K108" i="200"/>
  <c r="J108" i="200"/>
  <c r="I108" i="200"/>
  <c r="H108" i="200"/>
  <c r="G108" i="200"/>
  <c r="F108" i="200"/>
  <c r="Q107" i="200"/>
  <c r="P107" i="200"/>
  <c r="O107" i="200"/>
  <c r="N107" i="200"/>
  <c r="M107" i="200"/>
  <c r="L107" i="200"/>
  <c r="K107" i="200"/>
  <c r="J107" i="200"/>
  <c r="I107" i="200"/>
  <c r="H107" i="200"/>
  <c r="G107" i="200"/>
  <c r="F107" i="200"/>
  <c r="Q106" i="200"/>
  <c r="P106" i="200"/>
  <c r="O106" i="200"/>
  <c r="N106" i="200"/>
  <c r="M106" i="200"/>
  <c r="L106" i="200"/>
  <c r="K106" i="200"/>
  <c r="J106" i="200"/>
  <c r="I106" i="200"/>
  <c r="H106" i="200"/>
  <c r="G106" i="200"/>
  <c r="F106" i="200"/>
  <c r="Q105" i="200"/>
  <c r="P105" i="200"/>
  <c r="O105" i="200"/>
  <c r="N105" i="200"/>
  <c r="M105" i="200"/>
  <c r="L105" i="200"/>
  <c r="K105" i="200"/>
  <c r="J105" i="200"/>
  <c r="I105" i="200"/>
  <c r="H105" i="200"/>
  <c r="G105" i="200"/>
  <c r="F105" i="200"/>
  <c r="Q104" i="200"/>
  <c r="P104" i="200"/>
  <c r="O104" i="200"/>
  <c r="N104" i="200"/>
  <c r="M104" i="200"/>
  <c r="L104" i="200"/>
  <c r="K104" i="200"/>
  <c r="J104" i="200"/>
  <c r="I104" i="200"/>
  <c r="H104" i="200"/>
  <c r="Q103" i="200"/>
  <c r="P103" i="200"/>
  <c r="O103" i="200"/>
  <c r="N103" i="200"/>
  <c r="M103" i="200"/>
  <c r="L103" i="200"/>
  <c r="K103" i="200"/>
  <c r="J103" i="200"/>
  <c r="I103" i="200"/>
  <c r="H103" i="200"/>
  <c r="G103" i="200"/>
  <c r="F103" i="200"/>
  <c r="Q102" i="200"/>
  <c r="P102" i="200"/>
  <c r="O102" i="200"/>
  <c r="N102" i="200"/>
  <c r="M102" i="200"/>
  <c r="L102" i="200"/>
  <c r="K102" i="200"/>
  <c r="J102" i="200"/>
  <c r="I102" i="200"/>
  <c r="H102" i="200"/>
  <c r="G102" i="200"/>
  <c r="F102" i="200"/>
  <c r="Q101" i="200"/>
  <c r="P101" i="200"/>
  <c r="O101" i="200"/>
  <c r="N101" i="200"/>
  <c r="M101" i="200"/>
  <c r="L101" i="200"/>
  <c r="K101" i="200"/>
  <c r="J101" i="200"/>
  <c r="I101" i="200"/>
  <c r="H101" i="200"/>
  <c r="G101" i="200"/>
  <c r="F101" i="200"/>
  <c r="Q100" i="200"/>
  <c r="P100" i="200"/>
  <c r="O100" i="200"/>
  <c r="N100" i="200"/>
  <c r="M100" i="200"/>
  <c r="L100" i="200"/>
  <c r="K100" i="200"/>
  <c r="J100" i="200"/>
  <c r="I100" i="200"/>
  <c r="H100" i="200"/>
  <c r="G100" i="200"/>
  <c r="F100" i="200"/>
  <c r="Q99" i="200"/>
  <c r="P99" i="200"/>
  <c r="O99" i="200"/>
  <c r="N99" i="200"/>
  <c r="M99" i="200"/>
  <c r="L99" i="200"/>
  <c r="K99" i="200"/>
  <c r="J99" i="200"/>
  <c r="I99" i="200"/>
  <c r="H99" i="200"/>
  <c r="G99" i="200"/>
  <c r="F99" i="200"/>
  <c r="Q98" i="200"/>
  <c r="P98" i="200"/>
  <c r="O98" i="200"/>
  <c r="N98" i="200"/>
  <c r="M98" i="200"/>
  <c r="L98" i="200"/>
  <c r="K98" i="200"/>
  <c r="J98" i="200"/>
  <c r="I98" i="200"/>
  <c r="H98" i="200"/>
  <c r="G98" i="200"/>
  <c r="F98" i="200"/>
  <c r="Q97" i="200"/>
  <c r="P97" i="200"/>
  <c r="O97" i="200"/>
  <c r="N97" i="200"/>
  <c r="M97" i="200"/>
  <c r="L97" i="200"/>
  <c r="K97" i="200"/>
  <c r="J97" i="200"/>
  <c r="I97" i="200"/>
  <c r="H97" i="200"/>
  <c r="G97" i="200"/>
  <c r="F97" i="200"/>
  <c r="Q96" i="200"/>
  <c r="P96" i="200"/>
  <c r="O96" i="200"/>
  <c r="N96" i="200"/>
  <c r="M96" i="200"/>
  <c r="L96" i="200"/>
  <c r="K96" i="200"/>
  <c r="J96" i="200"/>
  <c r="I96" i="200"/>
  <c r="H96" i="200"/>
  <c r="G96" i="200"/>
  <c r="F96" i="200"/>
  <c r="Q95" i="200"/>
  <c r="P95" i="200"/>
  <c r="O95" i="200"/>
  <c r="N95" i="200"/>
  <c r="M95" i="200"/>
  <c r="L95" i="200"/>
  <c r="K95" i="200"/>
  <c r="J95" i="200"/>
  <c r="I95" i="200"/>
  <c r="H95" i="200"/>
  <c r="G95" i="200"/>
  <c r="F95" i="200"/>
  <c r="Q94" i="200"/>
  <c r="P94" i="200"/>
  <c r="O94" i="200"/>
  <c r="N94" i="200"/>
  <c r="M94" i="200"/>
  <c r="L94" i="200"/>
  <c r="K94" i="200"/>
  <c r="J94" i="200"/>
  <c r="I94" i="200"/>
  <c r="H94" i="200"/>
  <c r="G94" i="200"/>
  <c r="F94" i="200"/>
  <c r="Q93" i="200"/>
  <c r="P93" i="200"/>
  <c r="O93" i="200"/>
  <c r="N93" i="200"/>
  <c r="M93" i="200"/>
  <c r="L93" i="200"/>
  <c r="K93" i="200"/>
  <c r="J93" i="200"/>
  <c r="I93" i="200"/>
  <c r="H93" i="200"/>
  <c r="G93" i="200"/>
  <c r="F93" i="200"/>
  <c r="Q92" i="200"/>
  <c r="P92" i="200"/>
  <c r="O92" i="200"/>
  <c r="N92" i="200"/>
  <c r="M92" i="200"/>
  <c r="L92" i="200"/>
  <c r="K92" i="200"/>
  <c r="J92" i="200"/>
  <c r="I92" i="200"/>
  <c r="H92" i="200"/>
  <c r="G92" i="200"/>
  <c r="F92" i="200"/>
  <c r="Q91" i="200"/>
  <c r="P91" i="200"/>
  <c r="O91" i="200"/>
  <c r="N91" i="200"/>
  <c r="M91" i="200"/>
  <c r="L91" i="200"/>
  <c r="K91" i="200"/>
  <c r="J91" i="200"/>
  <c r="I91" i="200"/>
  <c r="H91" i="200"/>
  <c r="G91" i="200"/>
  <c r="F91" i="200"/>
  <c r="Q90" i="200"/>
  <c r="P90" i="200"/>
  <c r="O90" i="200"/>
  <c r="N90" i="200"/>
  <c r="M90" i="200"/>
  <c r="L90" i="200"/>
  <c r="K90" i="200"/>
  <c r="J90" i="200"/>
  <c r="I90" i="200"/>
  <c r="H90" i="200"/>
  <c r="G90" i="200"/>
  <c r="F90" i="200"/>
  <c r="Q89" i="200"/>
  <c r="P89" i="200"/>
  <c r="O89" i="200"/>
  <c r="N89" i="200"/>
  <c r="M89" i="200"/>
  <c r="L89" i="200"/>
  <c r="K89" i="200"/>
  <c r="J89" i="200"/>
  <c r="I89" i="200"/>
  <c r="H89" i="200"/>
  <c r="G89" i="200"/>
  <c r="F89" i="200"/>
  <c r="Q88" i="200"/>
  <c r="P88" i="200"/>
  <c r="O88" i="200"/>
  <c r="N88" i="200"/>
  <c r="M88" i="200"/>
  <c r="L88" i="200"/>
  <c r="K88" i="200"/>
  <c r="J88" i="200"/>
  <c r="I88" i="200"/>
  <c r="H88" i="200"/>
  <c r="G88" i="200"/>
  <c r="F88" i="200"/>
  <c r="Q87" i="200"/>
  <c r="P87" i="200"/>
  <c r="O87" i="200"/>
  <c r="N87" i="200"/>
  <c r="M87" i="200"/>
  <c r="L87" i="200"/>
  <c r="K87" i="200"/>
  <c r="J87" i="200"/>
  <c r="I87" i="200"/>
  <c r="H87" i="200"/>
  <c r="G87" i="200"/>
  <c r="F87" i="200"/>
  <c r="Q86" i="200"/>
  <c r="P86" i="200"/>
  <c r="O86" i="200"/>
  <c r="N86" i="200"/>
  <c r="M86" i="200"/>
  <c r="L86" i="200"/>
  <c r="K86" i="200"/>
  <c r="J86" i="200"/>
  <c r="I86" i="200"/>
  <c r="H86" i="200"/>
  <c r="G86" i="200"/>
  <c r="F86" i="200"/>
  <c r="Q85" i="200"/>
  <c r="P85" i="200"/>
  <c r="O85" i="200"/>
  <c r="N85" i="200"/>
  <c r="M85" i="200"/>
  <c r="L85" i="200"/>
  <c r="K85" i="200"/>
  <c r="J85" i="200"/>
  <c r="I85" i="200"/>
  <c r="H85" i="200"/>
  <c r="G85" i="200"/>
  <c r="F85" i="200"/>
  <c r="Q84" i="200"/>
  <c r="P84" i="200"/>
  <c r="O84" i="200"/>
  <c r="N84" i="200"/>
  <c r="M84" i="200"/>
  <c r="L84" i="200"/>
  <c r="K84" i="200"/>
  <c r="J84" i="200"/>
  <c r="I84" i="200"/>
  <c r="H84" i="200"/>
  <c r="G84" i="200"/>
  <c r="F84" i="200"/>
  <c r="Q83" i="200"/>
  <c r="P83" i="200"/>
  <c r="O83" i="200"/>
  <c r="N83" i="200"/>
  <c r="M83" i="200"/>
  <c r="L83" i="200"/>
  <c r="K83" i="200"/>
  <c r="J83" i="200"/>
  <c r="I83" i="200"/>
  <c r="H83" i="200"/>
  <c r="G83" i="200"/>
  <c r="F83" i="200"/>
  <c r="Q82" i="200"/>
  <c r="P82" i="200"/>
  <c r="O82" i="200"/>
  <c r="N82" i="200"/>
  <c r="M82" i="200"/>
  <c r="L82" i="200"/>
  <c r="K82" i="200"/>
  <c r="J82" i="200"/>
  <c r="I82" i="200"/>
  <c r="H82" i="200"/>
  <c r="G82" i="200"/>
  <c r="F82" i="200"/>
  <c r="Q81" i="200"/>
  <c r="P81" i="200"/>
  <c r="O81" i="200"/>
  <c r="N81" i="200"/>
  <c r="M81" i="200"/>
  <c r="L81" i="200"/>
  <c r="K81" i="200"/>
  <c r="J81" i="200"/>
  <c r="I81" i="200"/>
  <c r="H81" i="200"/>
  <c r="G81" i="200"/>
  <c r="F81" i="200"/>
  <c r="Q80" i="200"/>
  <c r="P80" i="200"/>
  <c r="O80" i="200"/>
  <c r="N80" i="200"/>
  <c r="M80" i="200"/>
  <c r="L80" i="200"/>
  <c r="K80" i="200"/>
  <c r="J80" i="200"/>
  <c r="I80" i="200"/>
  <c r="H80" i="200"/>
  <c r="G80" i="200"/>
  <c r="F80" i="200"/>
  <c r="Q79" i="200"/>
  <c r="P79" i="200"/>
  <c r="O79" i="200"/>
  <c r="N79" i="200"/>
  <c r="M79" i="200"/>
  <c r="L79" i="200"/>
  <c r="K79" i="200"/>
  <c r="J79" i="200"/>
  <c r="I79" i="200"/>
  <c r="H79" i="200"/>
  <c r="G79" i="200"/>
  <c r="F79" i="200"/>
  <c r="Q78" i="200"/>
  <c r="P78" i="200"/>
  <c r="O78" i="200"/>
  <c r="N78" i="200"/>
  <c r="M78" i="200"/>
  <c r="L78" i="200"/>
  <c r="K78" i="200"/>
  <c r="J78" i="200"/>
  <c r="I78" i="200"/>
  <c r="H78" i="200"/>
  <c r="G78" i="200"/>
  <c r="F78" i="200"/>
  <c r="Q77" i="200"/>
  <c r="P77" i="200"/>
  <c r="O77" i="200"/>
  <c r="N77" i="200"/>
  <c r="M77" i="200"/>
  <c r="L77" i="200"/>
  <c r="K77" i="200"/>
  <c r="J77" i="200"/>
  <c r="I77" i="200"/>
  <c r="H77" i="200"/>
  <c r="G77" i="200"/>
  <c r="F77" i="200"/>
  <c r="Q76" i="200"/>
  <c r="P76" i="200"/>
  <c r="O76" i="200"/>
  <c r="N76" i="200"/>
  <c r="M76" i="200"/>
  <c r="L76" i="200"/>
  <c r="K76" i="200"/>
  <c r="J76" i="200"/>
  <c r="I76" i="200"/>
  <c r="H76" i="200"/>
  <c r="G76" i="200"/>
  <c r="F76" i="200"/>
  <c r="Q75" i="200"/>
  <c r="P75" i="200"/>
  <c r="O75" i="200"/>
  <c r="N75" i="200"/>
  <c r="M75" i="200"/>
  <c r="L75" i="200"/>
  <c r="K75" i="200"/>
  <c r="J75" i="200"/>
  <c r="I75" i="200"/>
  <c r="H75" i="200"/>
  <c r="G75" i="200"/>
  <c r="F75" i="200"/>
  <c r="Q74" i="200"/>
  <c r="P74" i="200"/>
  <c r="O74" i="200"/>
  <c r="N74" i="200"/>
  <c r="M74" i="200"/>
  <c r="L74" i="200"/>
  <c r="K74" i="200"/>
  <c r="J74" i="200"/>
  <c r="I74" i="200"/>
  <c r="H74" i="200"/>
  <c r="G74" i="200"/>
  <c r="F74" i="200"/>
  <c r="Q73" i="200"/>
  <c r="P73" i="200"/>
  <c r="O73" i="200"/>
  <c r="N73" i="200"/>
  <c r="M73" i="200"/>
  <c r="L73" i="200"/>
  <c r="K73" i="200"/>
  <c r="J73" i="200"/>
  <c r="I73" i="200"/>
  <c r="H73" i="200"/>
  <c r="G73" i="200"/>
  <c r="F73" i="200"/>
  <c r="Q72" i="200"/>
  <c r="P72" i="200"/>
  <c r="O72" i="200"/>
  <c r="N72" i="200"/>
  <c r="M72" i="200"/>
  <c r="L72" i="200"/>
  <c r="K72" i="200"/>
  <c r="J72" i="200"/>
  <c r="I72" i="200"/>
  <c r="H72" i="200"/>
  <c r="G72" i="200"/>
  <c r="F72" i="200"/>
  <c r="Q71" i="200"/>
  <c r="P71" i="200"/>
  <c r="O71" i="200"/>
  <c r="N71" i="200"/>
  <c r="M71" i="200"/>
  <c r="L71" i="200"/>
  <c r="K71" i="200"/>
  <c r="J71" i="200"/>
  <c r="I71" i="200"/>
  <c r="H71" i="200"/>
  <c r="G71" i="200"/>
  <c r="F71" i="200"/>
  <c r="Q70" i="200"/>
  <c r="P70" i="200"/>
  <c r="O70" i="200"/>
  <c r="N70" i="200"/>
  <c r="M70" i="200"/>
  <c r="L70" i="200"/>
  <c r="K70" i="200"/>
  <c r="J70" i="200"/>
  <c r="I70" i="200"/>
  <c r="H70" i="200"/>
  <c r="G70" i="200"/>
  <c r="F70" i="200"/>
  <c r="Q69" i="200"/>
  <c r="P69" i="200"/>
  <c r="O69" i="200"/>
  <c r="N69" i="200"/>
  <c r="M69" i="200"/>
  <c r="L69" i="200"/>
  <c r="K69" i="200"/>
  <c r="J69" i="200"/>
  <c r="I69" i="200"/>
  <c r="H69" i="200"/>
  <c r="G69" i="200"/>
  <c r="F69" i="200"/>
  <c r="Q68" i="200"/>
  <c r="P68" i="200"/>
  <c r="O68" i="200"/>
  <c r="N68" i="200"/>
  <c r="M68" i="200"/>
  <c r="L68" i="200"/>
  <c r="K68" i="200"/>
  <c r="J68" i="200"/>
  <c r="I68" i="200"/>
  <c r="H68" i="200"/>
  <c r="G68" i="200"/>
  <c r="F68" i="200"/>
  <c r="Q67" i="200"/>
  <c r="P67" i="200"/>
  <c r="O67" i="200"/>
  <c r="N67" i="200"/>
  <c r="M67" i="200"/>
  <c r="L67" i="200"/>
  <c r="K67" i="200"/>
  <c r="J67" i="200"/>
  <c r="I67" i="200"/>
  <c r="H67" i="200"/>
  <c r="G67" i="200"/>
  <c r="F67" i="200"/>
  <c r="Q66" i="200"/>
  <c r="P66" i="200"/>
  <c r="O66" i="200"/>
  <c r="N66" i="200"/>
  <c r="M66" i="200"/>
  <c r="L66" i="200"/>
  <c r="K66" i="200"/>
  <c r="J66" i="200"/>
  <c r="I66" i="200"/>
  <c r="H66" i="200"/>
  <c r="G66" i="200"/>
  <c r="F66" i="200"/>
  <c r="Q65" i="200"/>
  <c r="P65" i="200"/>
  <c r="O65" i="200"/>
  <c r="N65" i="200"/>
  <c r="M65" i="200"/>
  <c r="L65" i="200"/>
  <c r="K65" i="200"/>
  <c r="J65" i="200"/>
  <c r="I65" i="200"/>
  <c r="H65" i="200"/>
  <c r="G65" i="200"/>
  <c r="F65" i="200"/>
  <c r="Q64" i="200"/>
  <c r="P64" i="200"/>
  <c r="O64" i="200"/>
  <c r="N64" i="200"/>
  <c r="M64" i="200"/>
  <c r="L64" i="200"/>
  <c r="K64" i="200"/>
  <c r="J64" i="200"/>
  <c r="I64" i="200"/>
  <c r="H64" i="200"/>
  <c r="G64" i="200"/>
  <c r="F64" i="200"/>
  <c r="Q63" i="200"/>
  <c r="P63" i="200"/>
  <c r="O63" i="200"/>
  <c r="N63" i="200"/>
  <c r="M63" i="200"/>
  <c r="L63" i="200"/>
  <c r="K63" i="200"/>
  <c r="J63" i="200"/>
  <c r="I63" i="200"/>
  <c r="H63" i="200"/>
  <c r="G63" i="200"/>
  <c r="F63" i="200"/>
  <c r="Q62" i="200"/>
  <c r="P62" i="200"/>
  <c r="O62" i="200"/>
  <c r="N62" i="200"/>
  <c r="M62" i="200"/>
  <c r="L62" i="200"/>
  <c r="K62" i="200"/>
  <c r="J62" i="200"/>
  <c r="I62" i="200"/>
  <c r="H62" i="200"/>
  <c r="G62" i="200"/>
  <c r="F62" i="200"/>
  <c r="Q61" i="200"/>
  <c r="P61" i="200"/>
  <c r="O61" i="200"/>
  <c r="N61" i="200"/>
  <c r="M61" i="200"/>
  <c r="L61" i="200"/>
  <c r="K61" i="200"/>
  <c r="J61" i="200"/>
  <c r="I61" i="200"/>
  <c r="H61" i="200"/>
  <c r="G61" i="200"/>
  <c r="F61" i="200"/>
  <c r="Q60" i="200"/>
  <c r="P60" i="200"/>
  <c r="O60" i="200"/>
  <c r="N60" i="200"/>
  <c r="M60" i="200"/>
  <c r="L60" i="200"/>
  <c r="K60" i="200"/>
  <c r="J60" i="200"/>
  <c r="I60" i="200"/>
  <c r="H60" i="200"/>
  <c r="G60" i="200"/>
  <c r="F60" i="200"/>
  <c r="Q59" i="200"/>
  <c r="P59" i="200"/>
  <c r="O59" i="200"/>
  <c r="N59" i="200"/>
  <c r="M59" i="200"/>
  <c r="L59" i="200"/>
  <c r="K59" i="200"/>
  <c r="J59" i="200"/>
  <c r="I59" i="200"/>
  <c r="H59" i="200"/>
  <c r="G59" i="200"/>
  <c r="F59" i="200"/>
  <c r="Q58" i="200"/>
  <c r="P58" i="200"/>
  <c r="O58" i="200"/>
  <c r="N58" i="200"/>
  <c r="M58" i="200"/>
  <c r="L58" i="200"/>
  <c r="K58" i="200"/>
  <c r="J58" i="200"/>
  <c r="I58" i="200"/>
  <c r="H58" i="200"/>
  <c r="G58" i="200"/>
  <c r="F58" i="200"/>
  <c r="Q57" i="200"/>
  <c r="P57" i="200"/>
  <c r="O57" i="200"/>
  <c r="N57" i="200"/>
  <c r="M57" i="200"/>
  <c r="L57" i="200"/>
  <c r="K57" i="200"/>
  <c r="J57" i="200"/>
  <c r="I57" i="200"/>
  <c r="H57" i="200"/>
  <c r="G57" i="200"/>
  <c r="F57" i="200"/>
  <c r="Q56" i="200"/>
  <c r="P56" i="200"/>
  <c r="O56" i="200"/>
  <c r="N56" i="200"/>
  <c r="M56" i="200"/>
  <c r="L56" i="200"/>
  <c r="K56" i="200"/>
  <c r="J56" i="200"/>
  <c r="I56" i="200"/>
  <c r="H56" i="200"/>
  <c r="G56" i="200"/>
  <c r="F56" i="200"/>
  <c r="Q55" i="200"/>
  <c r="P55" i="200"/>
  <c r="O55" i="200"/>
  <c r="N55" i="200"/>
  <c r="M55" i="200"/>
  <c r="L55" i="200"/>
  <c r="K55" i="200"/>
  <c r="J55" i="200"/>
  <c r="I55" i="200"/>
  <c r="H55" i="200"/>
  <c r="G55" i="200"/>
  <c r="F55" i="200"/>
  <c r="Q54" i="200"/>
  <c r="P54" i="200"/>
  <c r="O54" i="200"/>
  <c r="N54" i="200"/>
  <c r="M54" i="200"/>
  <c r="L54" i="200"/>
  <c r="K54" i="200"/>
  <c r="J54" i="200"/>
  <c r="I54" i="200"/>
  <c r="H54" i="200"/>
  <c r="G54" i="200"/>
  <c r="F54" i="200"/>
  <c r="Q53" i="200"/>
  <c r="P53" i="200"/>
  <c r="O53" i="200"/>
  <c r="N53" i="200"/>
  <c r="M53" i="200"/>
  <c r="L53" i="200"/>
  <c r="K53" i="200"/>
  <c r="J53" i="200"/>
  <c r="I53" i="200"/>
  <c r="H53" i="200"/>
  <c r="G53" i="200"/>
  <c r="F53" i="200"/>
  <c r="Q52" i="200"/>
  <c r="P52" i="200"/>
  <c r="O52" i="200"/>
  <c r="N52" i="200"/>
  <c r="M52" i="200"/>
  <c r="L52" i="200"/>
  <c r="K52" i="200"/>
  <c r="J52" i="200"/>
  <c r="I52" i="200"/>
  <c r="H52" i="200"/>
  <c r="G52" i="200"/>
  <c r="F52" i="200"/>
  <c r="Q51" i="200"/>
  <c r="P51" i="200"/>
  <c r="O51" i="200"/>
  <c r="N51" i="200"/>
  <c r="M51" i="200"/>
  <c r="L51" i="200"/>
  <c r="K51" i="200"/>
  <c r="J51" i="200"/>
  <c r="I51" i="200"/>
  <c r="H51" i="200"/>
  <c r="G51" i="200"/>
  <c r="F51" i="200"/>
  <c r="Q50" i="200"/>
  <c r="P50" i="200"/>
  <c r="O50" i="200"/>
  <c r="N50" i="200"/>
  <c r="M50" i="200"/>
  <c r="L50" i="200"/>
  <c r="K50" i="200"/>
  <c r="J50" i="200"/>
  <c r="I50" i="200"/>
  <c r="H50" i="200"/>
  <c r="G50" i="200"/>
  <c r="F50" i="200"/>
  <c r="Q49" i="200"/>
  <c r="P49" i="200"/>
  <c r="O49" i="200"/>
  <c r="N49" i="200"/>
  <c r="M49" i="200"/>
  <c r="L49" i="200"/>
  <c r="K49" i="200"/>
  <c r="J49" i="200"/>
  <c r="I49" i="200"/>
  <c r="H49" i="200"/>
  <c r="G49" i="200"/>
  <c r="F49" i="200"/>
  <c r="Q48" i="200"/>
  <c r="P48" i="200"/>
  <c r="O48" i="200"/>
  <c r="N48" i="200"/>
  <c r="M48" i="200"/>
  <c r="L48" i="200"/>
  <c r="K48" i="200"/>
  <c r="J48" i="200"/>
  <c r="I48" i="200"/>
  <c r="H48" i="200"/>
  <c r="G48" i="200"/>
  <c r="F48" i="200"/>
  <c r="Q47" i="200"/>
  <c r="P47" i="200"/>
  <c r="O47" i="200"/>
  <c r="N47" i="200"/>
  <c r="M47" i="200"/>
  <c r="L47" i="200"/>
  <c r="K47" i="200"/>
  <c r="J47" i="200"/>
  <c r="I47" i="200"/>
  <c r="H47" i="200"/>
  <c r="G47" i="200"/>
  <c r="F47" i="200"/>
  <c r="Q46" i="200"/>
  <c r="P46" i="200"/>
  <c r="O46" i="200"/>
  <c r="N46" i="200"/>
  <c r="M46" i="200"/>
  <c r="L46" i="200"/>
  <c r="K46" i="200"/>
  <c r="J46" i="200"/>
  <c r="I46" i="200"/>
  <c r="H46" i="200"/>
  <c r="G46" i="200"/>
  <c r="F46" i="200"/>
  <c r="Q45" i="200"/>
  <c r="P45" i="200"/>
  <c r="O45" i="200"/>
  <c r="N45" i="200"/>
  <c r="M45" i="200"/>
  <c r="L45" i="200"/>
  <c r="K45" i="200"/>
  <c r="J45" i="200"/>
  <c r="I45" i="200"/>
  <c r="H45" i="200"/>
  <c r="G45" i="200"/>
  <c r="F45" i="200"/>
  <c r="Q44" i="200"/>
  <c r="P44" i="200"/>
  <c r="O44" i="200"/>
  <c r="N44" i="200"/>
  <c r="M44" i="200"/>
  <c r="L44" i="200"/>
  <c r="K44" i="200"/>
  <c r="J44" i="200"/>
  <c r="I44" i="200"/>
  <c r="H44" i="200"/>
  <c r="G44" i="200"/>
  <c r="F44" i="200"/>
  <c r="Q43" i="200"/>
  <c r="P43" i="200"/>
  <c r="O43" i="200"/>
  <c r="N43" i="200"/>
  <c r="M43" i="200"/>
  <c r="L43" i="200"/>
  <c r="K43" i="200"/>
  <c r="J43" i="200"/>
  <c r="I43" i="200"/>
  <c r="H43" i="200"/>
  <c r="G43" i="200"/>
  <c r="F43" i="200"/>
  <c r="Q42" i="200"/>
  <c r="P42" i="200"/>
  <c r="O42" i="200"/>
  <c r="N42" i="200"/>
  <c r="M42" i="200"/>
  <c r="L42" i="200"/>
  <c r="K42" i="200"/>
  <c r="J42" i="200"/>
  <c r="I42" i="200"/>
  <c r="H42" i="200"/>
  <c r="G42" i="200"/>
  <c r="F42" i="200"/>
  <c r="Q41" i="200"/>
  <c r="P41" i="200"/>
  <c r="O41" i="200"/>
  <c r="N41" i="200"/>
  <c r="M41" i="200"/>
  <c r="L41" i="200"/>
  <c r="K41" i="200"/>
  <c r="J41" i="200"/>
  <c r="I41" i="200"/>
  <c r="H41" i="200"/>
  <c r="G41" i="200"/>
  <c r="F41" i="200"/>
  <c r="Q40" i="200"/>
  <c r="P40" i="200"/>
  <c r="O40" i="200"/>
  <c r="N40" i="200"/>
  <c r="M40" i="200"/>
  <c r="L40" i="200"/>
  <c r="K40" i="200"/>
  <c r="J40" i="200"/>
  <c r="I40" i="200"/>
  <c r="H40" i="200"/>
  <c r="G40" i="200"/>
  <c r="F40" i="200"/>
  <c r="Q39" i="200"/>
  <c r="P39" i="200"/>
  <c r="O39" i="200"/>
  <c r="N39" i="200"/>
  <c r="M39" i="200"/>
  <c r="L39" i="200"/>
  <c r="K39" i="200"/>
  <c r="J39" i="200"/>
  <c r="I39" i="200"/>
  <c r="H39" i="200"/>
  <c r="G39" i="200"/>
  <c r="F39" i="200"/>
  <c r="Q38" i="200"/>
  <c r="P38" i="200"/>
  <c r="O38" i="200"/>
  <c r="N38" i="200"/>
  <c r="M38" i="200"/>
  <c r="L38" i="200"/>
  <c r="K38" i="200"/>
  <c r="J38" i="200"/>
  <c r="I38" i="200"/>
  <c r="H38" i="200"/>
  <c r="G38" i="200"/>
  <c r="F38" i="200"/>
  <c r="Q37" i="200"/>
  <c r="P37" i="200"/>
  <c r="O37" i="200"/>
  <c r="N37" i="200"/>
  <c r="M37" i="200"/>
  <c r="L37" i="200"/>
  <c r="K37" i="200"/>
  <c r="J37" i="200"/>
  <c r="I37" i="200"/>
  <c r="H37" i="200"/>
  <c r="G37" i="200"/>
  <c r="F37" i="200"/>
  <c r="Q36" i="200"/>
  <c r="P36" i="200"/>
  <c r="O36" i="200"/>
  <c r="N36" i="200"/>
  <c r="M36" i="200"/>
  <c r="L36" i="200"/>
  <c r="K36" i="200"/>
  <c r="J36" i="200"/>
  <c r="I36" i="200"/>
  <c r="H36" i="200"/>
  <c r="G36" i="200"/>
  <c r="F36" i="200"/>
  <c r="Q35" i="200"/>
  <c r="P35" i="200"/>
  <c r="O35" i="200"/>
  <c r="N35" i="200"/>
  <c r="M35" i="200"/>
  <c r="L35" i="200"/>
  <c r="K35" i="200"/>
  <c r="J35" i="200"/>
  <c r="I35" i="200"/>
  <c r="H35" i="200"/>
  <c r="G35" i="200"/>
  <c r="F35" i="200"/>
  <c r="Q34" i="200"/>
  <c r="P34" i="200"/>
  <c r="O34" i="200"/>
  <c r="N34" i="200"/>
  <c r="M34" i="200"/>
  <c r="L34" i="200"/>
  <c r="K34" i="200"/>
  <c r="J34" i="200"/>
  <c r="I34" i="200"/>
  <c r="H34" i="200"/>
  <c r="G34" i="200"/>
  <c r="F34" i="200"/>
  <c r="Q33" i="200"/>
  <c r="P33" i="200"/>
  <c r="O33" i="200"/>
  <c r="N33" i="200"/>
  <c r="M33" i="200"/>
  <c r="L33" i="200"/>
  <c r="K33" i="200"/>
  <c r="J33" i="200"/>
  <c r="I33" i="200"/>
  <c r="H33" i="200"/>
  <c r="G33" i="200"/>
  <c r="F33" i="200"/>
  <c r="Q32" i="200"/>
  <c r="P32" i="200"/>
  <c r="O32" i="200"/>
  <c r="N32" i="200"/>
  <c r="M32" i="200"/>
  <c r="L32" i="200"/>
  <c r="K32" i="200"/>
  <c r="J32" i="200"/>
  <c r="I32" i="200"/>
  <c r="H32" i="200"/>
  <c r="G32" i="200"/>
  <c r="F32" i="200"/>
  <c r="Q29" i="200"/>
  <c r="P29" i="200"/>
  <c r="O29" i="200"/>
  <c r="N29" i="200"/>
  <c r="M29" i="200"/>
  <c r="L29" i="200"/>
  <c r="K29" i="200"/>
  <c r="J29" i="200"/>
  <c r="I29" i="200"/>
  <c r="H29" i="200"/>
  <c r="G29" i="200"/>
  <c r="F29" i="200"/>
  <c r="Q164" i="199"/>
  <c r="O164" i="199"/>
  <c r="M164" i="199"/>
  <c r="K164" i="199"/>
  <c r="I164" i="199"/>
  <c r="G164" i="199"/>
  <c r="Q163" i="199"/>
  <c r="P163" i="199"/>
  <c r="O163" i="199"/>
  <c r="N163" i="199"/>
  <c r="M163" i="199"/>
  <c r="L163" i="199"/>
  <c r="K163" i="199"/>
  <c r="J163" i="199"/>
  <c r="I163" i="199"/>
  <c r="H163" i="199"/>
  <c r="G163" i="199"/>
  <c r="F163" i="199"/>
  <c r="Q162" i="199"/>
  <c r="P162" i="199"/>
  <c r="O162" i="199"/>
  <c r="N162" i="199"/>
  <c r="M162" i="199"/>
  <c r="L162" i="199"/>
  <c r="K162" i="199"/>
  <c r="J162" i="199"/>
  <c r="I162" i="199"/>
  <c r="H162" i="199"/>
  <c r="G162" i="199"/>
  <c r="F162" i="199"/>
  <c r="Q161" i="199"/>
  <c r="P161" i="199"/>
  <c r="O161" i="199"/>
  <c r="N161" i="199"/>
  <c r="M161" i="199"/>
  <c r="L161" i="199"/>
  <c r="K161" i="199"/>
  <c r="J161" i="199"/>
  <c r="I161" i="199"/>
  <c r="H161" i="199"/>
  <c r="G161" i="199"/>
  <c r="F161" i="199"/>
  <c r="Q160" i="199"/>
  <c r="P160" i="199"/>
  <c r="O160" i="199"/>
  <c r="N160" i="199"/>
  <c r="M160" i="199"/>
  <c r="L160" i="199"/>
  <c r="K160" i="199"/>
  <c r="J160" i="199"/>
  <c r="I160" i="199"/>
  <c r="H160" i="199"/>
  <c r="G160" i="199"/>
  <c r="F160" i="199"/>
  <c r="Q159" i="199"/>
  <c r="P159" i="199"/>
  <c r="O159" i="199"/>
  <c r="N159" i="199"/>
  <c r="M159" i="199"/>
  <c r="L159" i="199"/>
  <c r="K159" i="199"/>
  <c r="J159" i="199"/>
  <c r="I159" i="199"/>
  <c r="H159" i="199"/>
  <c r="G159" i="199"/>
  <c r="F159" i="199"/>
  <c r="Q158" i="199"/>
  <c r="P158" i="199"/>
  <c r="O158" i="199"/>
  <c r="N158" i="199"/>
  <c r="M158" i="199"/>
  <c r="L158" i="199"/>
  <c r="K158" i="199"/>
  <c r="J158" i="199"/>
  <c r="I158" i="199"/>
  <c r="H158" i="199"/>
  <c r="G158" i="199"/>
  <c r="F158" i="199"/>
  <c r="Q157" i="199"/>
  <c r="P157" i="199"/>
  <c r="O157" i="199"/>
  <c r="N157" i="199"/>
  <c r="M157" i="199"/>
  <c r="L157" i="199"/>
  <c r="K157" i="199"/>
  <c r="J157" i="199"/>
  <c r="I157" i="199"/>
  <c r="H157" i="199"/>
  <c r="G157" i="199"/>
  <c r="F157" i="199"/>
  <c r="Q156" i="199"/>
  <c r="P156" i="199"/>
  <c r="O156" i="199"/>
  <c r="N156" i="199"/>
  <c r="M156" i="199"/>
  <c r="L156" i="199"/>
  <c r="K156" i="199"/>
  <c r="J156" i="199"/>
  <c r="I156" i="199"/>
  <c r="H156" i="199"/>
  <c r="G156" i="199"/>
  <c r="F156" i="199"/>
  <c r="Q155" i="199"/>
  <c r="P155" i="199"/>
  <c r="O155" i="199"/>
  <c r="N155" i="199"/>
  <c r="M155" i="199"/>
  <c r="L155" i="199"/>
  <c r="K155" i="199"/>
  <c r="J155" i="199"/>
  <c r="I155" i="199"/>
  <c r="H155" i="199"/>
  <c r="G155" i="199"/>
  <c r="F155" i="199"/>
  <c r="Q154" i="199"/>
  <c r="P154" i="199"/>
  <c r="O154" i="199"/>
  <c r="N154" i="199"/>
  <c r="M154" i="199"/>
  <c r="L154" i="199"/>
  <c r="K154" i="199"/>
  <c r="J154" i="199"/>
  <c r="I154" i="199"/>
  <c r="H154" i="199"/>
  <c r="G154" i="199"/>
  <c r="F154" i="199"/>
  <c r="Q153" i="199"/>
  <c r="P153" i="199"/>
  <c r="O153" i="199"/>
  <c r="N153" i="199"/>
  <c r="M153" i="199"/>
  <c r="L153" i="199"/>
  <c r="K153" i="199"/>
  <c r="J153" i="199"/>
  <c r="I153" i="199"/>
  <c r="H153" i="199"/>
  <c r="G153" i="199"/>
  <c r="F153" i="199"/>
  <c r="Q152" i="199"/>
  <c r="P152" i="199"/>
  <c r="O152" i="199"/>
  <c r="N152" i="199"/>
  <c r="M152" i="199"/>
  <c r="L152" i="199"/>
  <c r="K152" i="199"/>
  <c r="J152" i="199"/>
  <c r="I152" i="199"/>
  <c r="H152" i="199"/>
  <c r="G152" i="199"/>
  <c r="F152" i="199"/>
  <c r="Q151" i="199"/>
  <c r="P151" i="199"/>
  <c r="O151" i="199"/>
  <c r="N151" i="199"/>
  <c r="M151" i="199"/>
  <c r="L151" i="199"/>
  <c r="K151" i="199"/>
  <c r="J151" i="199"/>
  <c r="I151" i="199"/>
  <c r="H151" i="199"/>
  <c r="G151" i="199"/>
  <c r="F151" i="199"/>
  <c r="Q150" i="199"/>
  <c r="P150" i="199"/>
  <c r="O150" i="199"/>
  <c r="N150" i="199"/>
  <c r="M150" i="199"/>
  <c r="L150" i="199"/>
  <c r="K150" i="199"/>
  <c r="J150" i="199"/>
  <c r="I150" i="199"/>
  <c r="H150" i="199"/>
  <c r="G150" i="199"/>
  <c r="F150" i="199"/>
  <c r="Q149" i="199"/>
  <c r="P149" i="199"/>
  <c r="O149" i="199"/>
  <c r="N149" i="199"/>
  <c r="M149" i="199"/>
  <c r="L149" i="199"/>
  <c r="K149" i="199"/>
  <c r="J149" i="199"/>
  <c r="I149" i="199"/>
  <c r="H149" i="199"/>
  <c r="G149" i="199"/>
  <c r="F149" i="199"/>
  <c r="Q148" i="199"/>
  <c r="P148" i="199"/>
  <c r="O148" i="199"/>
  <c r="N148" i="199"/>
  <c r="M148" i="199"/>
  <c r="L148" i="199"/>
  <c r="K148" i="199"/>
  <c r="J148" i="199"/>
  <c r="I148" i="199"/>
  <c r="H148" i="199"/>
  <c r="G148" i="199"/>
  <c r="F148" i="199"/>
  <c r="Q147" i="199"/>
  <c r="P147" i="199"/>
  <c r="O147" i="199"/>
  <c r="N147" i="199"/>
  <c r="M147" i="199"/>
  <c r="L147" i="199"/>
  <c r="K147" i="199"/>
  <c r="J147" i="199"/>
  <c r="I147" i="199"/>
  <c r="H147" i="199"/>
  <c r="G147" i="199"/>
  <c r="F147" i="199"/>
  <c r="Q146" i="199"/>
  <c r="P146" i="199"/>
  <c r="O146" i="199"/>
  <c r="N146" i="199"/>
  <c r="M146" i="199"/>
  <c r="L146" i="199"/>
  <c r="K146" i="199"/>
  <c r="J146" i="199"/>
  <c r="I146" i="199"/>
  <c r="H146" i="199"/>
  <c r="G146" i="199"/>
  <c r="F146" i="199"/>
  <c r="Q145" i="199"/>
  <c r="P145" i="199"/>
  <c r="O145" i="199"/>
  <c r="N145" i="199"/>
  <c r="M145" i="199"/>
  <c r="L145" i="199"/>
  <c r="K145" i="199"/>
  <c r="J145" i="199"/>
  <c r="I145" i="199"/>
  <c r="H145" i="199"/>
  <c r="G145" i="199"/>
  <c r="F145" i="199"/>
  <c r="Q144" i="199"/>
  <c r="P144" i="199"/>
  <c r="O144" i="199"/>
  <c r="N144" i="199"/>
  <c r="M144" i="199"/>
  <c r="L144" i="199"/>
  <c r="K144" i="199"/>
  <c r="J144" i="199"/>
  <c r="I144" i="199"/>
  <c r="H144" i="199"/>
  <c r="G144" i="199"/>
  <c r="F144" i="199"/>
  <c r="Q143" i="199"/>
  <c r="P143" i="199"/>
  <c r="O143" i="199"/>
  <c r="N143" i="199"/>
  <c r="M143" i="199"/>
  <c r="L143" i="199"/>
  <c r="K143" i="199"/>
  <c r="J143" i="199"/>
  <c r="I143" i="199"/>
  <c r="H143" i="199"/>
  <c r="G143" i="199"/>
  <c r="F143" i="199"/>
  <c r="Q142" i="199"/>
  <c r="P142" i="199"/>
  <c r="O142" i="199"/>
  <c r="N142" i="199"/>
  <c r="M142" i="199"/>
  <c r="L142" i="199"/>
  <c r="K142" i="199"/>
  <c r="J142" i="199"/>
  <c r="I142" i="199"/>
  <c r="H142" i="199"/>
  <c r="G142" i="199"/>
  <c r="F142" i="199"/>
  <c r="Q141" i="199"/>
  <c r="P141" i="199"/>
  <c r="O141" i="199"/>
  <c r="N141" i="199"/>
  <c r="M141" i="199"/>
  <c r="L141" i="199"/>
  <c r="K141" i="199"/>
  <c r="J141" i="199"/>
  <c r="I141" i="199"/>
  <c r="H141" i="199"/>
  <c r="G141" i="199"/>
  <c r="F141" i="199"/>
  <c r="Q140" i="199"/>
  <c r="P140" i="199"/>
  <c r="O140" i="199"/>
  <c r="N140" i="199"/>
  <c r="M140" i="199"/>
  <c r="L140" i="199"/>
  <c r="K140" i="199"/>
  <c r="J140" i="199"/>
  <c r="I140" i="199"/>
  <c r="H140" i="199"/>
  <c r="G140" i="199"/>
  <c r="F140" i="199"/>
  <c r="Q139" i="199"/>
  <c r="P139" i="199"/>
  <c r="O139" i="199"/>
  <c r="N139" i="199"/>
  <c r="M139" i="199"/>
  <c r="L139" i="199"/>
  <c r="K139" i="199"/>
  <c r="J139" i="199"/>
  <c r="I139" i="199"/>
  <c r="H139" i="199"/>
  <c r="G139" i="199"/>
  <c r="F139" i="199"/>
  <c r="Q138" i="199"/>
  <c r="P138" i="199"/>
  <c r="O138" i="199"/>
  <c r="N138" i="199"/>
  <c r="M138" i="199"/>
  <c r="L138" i="199"/>
  <c r="K138" i="199"/>
  <c r="J138" i="199"/>
  <c r="I138" i="199"/>
  <c r="H138" i="199"/>
  <c r="G138" i="199"/>
  <c r="F138" i="199"/>
  <c r="Q137" i="199"/>
  <c r="P137" i="199"/>
  <c r="O137" i="199"/>
  <c r="N137" i="199"/>
  <c r="M137" i="199"/>
  <c r="L137" i="199"/>
  <c r="K137" i="199"/>
  <c r="J137" i="199"/>
  <c r="I137" i="199"/>
  <c r="H137" i="199"/>
  <c r="G137" i="199"/>
  <c r="F137" i="199"/>
  <c r="Q136" i="199"/>
  <c r="P136" i="199"/>
  <c r="O136" i="199"/>
  <c r="N136" i="199"/>
  <c r="M136" i="199"/>
  <c r="L136" i="199"/>
  <c r="K136" i="199"/>
  <c r="J136" i="199"/>
  <c r="I136" i="199"/>
  <c r="H136" i="199"/>
  <c r="G136" i="199"/>
  <c r="F136" i="199"/>
  <c r="Q135" i="199"/>
  <c r="P135" i="199"/>
  <c r="O135" i="199"/>
  <c r="N135" i="199"/>
  <c r="M135" i="199"/>
  <c r="L135" i="199"/>
  <c r="K135" i="199"/>
  <c r="J135" i="199"/>
  <c r="I135" i="199"/>
  <c r="H135" i="199"/>
  <c r="G135" i="199"/>
  <c r="F135" i="199"/>
  <c r="Q134" i="199"/>
  <c r="P134" i="199"/>
  <c r="O134" i="199"/>
  <c r="N134" i="199"/>
  <c r="M134" i="199"/>
  <c r="L134" i="199"/>
  <c r="K134" i="199"/>
  <c r="J134" i="199"/>
  <c r="I134" i="199"/>
  <c r="H134" i="199"/>
  <c r="G134" i="199"/>
  <c r="F134" i="199"/>
  <c r="Q133" i="199"/>
  <c r="P133" i="199"/>
  <c r="O133" i="199"/>
  <c r="N133" i="199"/>
  <c r="M133" i="199"/>
  <c r="L133" i="199"/>
  <c r="K133" i="199"/>
  <c r="J133" i="199"/>
  <c r="I133" i="199"/>
  <c r="H133" i="199"/>
  <c r="G133" i="199"/>
  <c r="F133" i="199"/>
  <c r="Q132" i="199"/>
  <c r="P132" i="199"/>
  <c r="O132" i="199"/>
  <c r="N132" i="199"/>
  <c r="M132" i="199"/>
  <c r="L132" i="199"/>
  <c r="K132" i="199"/>
  <c r="J132" i="199"/>
  <c r="I132" i="199"/>
  <c r="H132" i="199"/>
  <c r="G132" i="199"/>
  <c r="F132" i="199"/>
  <c r="Q131" i="199"/>
  <c r="P131" i="199"/>
  <c r="O131" i="199"/>
  <c r="N131" i="199"/>
  <c r="M131" i="199"/>
  <c r="L131" i="199"/>
  <c r="K131" i="199"/>
  <c r="J131" i="199"/>
  <c r="I131" i="199"/>
  <c r="H131" i="199"/>
  <c r="G131" i="199"/>
  <c r="F131" i="199"/>
  <c r="Q130" i="199"/>
  <c r="P130" i="199"/>
  <c r="O130" i="199"/>
  <c r="N130" i="199"/>
  <c r="M130" i="199"/>
  <c r="L130" i="199"/>
  <c r="K130" i="199"/>
  <c r="J130" i="199"/>
  <c r="I130" i="199"/>
  <c r="H130" i="199"/>
  <c r="G130" i="199"/>
  <c r="F130" i="199"/>
  <c r="Q129" i="199"/>
  <c r="P129" i="199"/>
  <c r="O129" i="199"/>
  <c r="N129" i="199"/>
  <c r="M129" i="199"/>
  <c r="L129" i="199"/>
  <c r="K129" i="199"/>
  <c r="J129" i="199"/>
  <c r="I129" i="199"/>
  <c r="H129" i="199"/>
  <c r="G129" i="199"/>
  <c r="F129" i="199"/>
  <c r="Q128" i="199"/>
  <c r="P128" i="199"/>
  <c r="O128" i="199"/>
  <c r="N128" i="199"/>
  <c r="M128" i="199"/>
  <c r="L128" i="199"/>
  <c r="K128" i="199"/>
  <c r="J128" i="199"/>
  <c r="I128" i="199"/>
  <c r="H128" i="199"/>
  <c r="G128" i="199"/>
  <c r="F128" i="199"/>
  <c r="Q127" i="199"/>
  <c r="P127" i="199"/>
  <c r="O127" i="199"/>
  <c r="N127" i="199"/>
  <c r="M127" i="199"/>
  <c r="L127" i="199"/>
  <c r="K127" i="199"/>
  <c r="J127" i="199"/>
  <c r="I127" i="199"/>
  <c r="H127" i="199"/>
  <c r="G127" i="199"/>
  <c r="F127" i="199"/>
  <c r="Q126" i="199"/>
  <c r="P126" i="199"/>
  <c r="O126" i="199"/>
  <c r="N126" i="199"/>
  <c r="M126" i="199"/>
  <c r="L126" i="199"/>
  <c r="K126" i="199"/>
  <c r="J126" i="199"/>
  <c r="I126" i="199"/>
  <c r="H126" i="199"/>
  <c r="G126" i="199"/>
  <c r="F126" i="199"/>
  <c r="Q125" i="199"/>
  <c r="P125" i="199"/>
  <c r="O125" i="199"/>
  <c r="N125" i="199"/>
  <c r="M125" i="199"/>
  <c r="L125" i="199"/>
  <c r="K125" i="199"/>
  <c r="J125" i="199"/>
  <c r="I125" i="199"/>
  <c r="H125" i="199"/>
  <c r="G125" i="199"/>
  <c r="F125" i="199"/>
  <c r="Q124" i="199"/>
  <c r="P124" i="199"/>
  <c r="O124" i="199"/>
  <c r="N124" i="199"/>
  <c r="M124" i="199"/>
  <c r="L124" i="199"/>
  <c r="K124" i="199"/>
  <c r="J124" i="199"/>
  <c r="I124" i="199"/>
  <c r="H124" i="199"/>
  <c r="G124" i="199"/>
  <c r="F124" i="199"/>
  <c r="Q123" i="199"/>
  <c r="P123" i="199"/>
  <c r="O123" i="199"/>
  <c r="N123" i="199"/>
  <c r="M123" i="199"/>
  <c r="L123" i="199"/>
  <c r="K123" i="199"/>
  <c r="J123" i="199"/>
  <c r="I123" i="199"/>
  <c r="H123" i="199"/>
  <c r="G123" i="199"/>
  <c r="F123" i="199"/>
  <c r="Q122" i="199"/>
  <c r="P122" i="199"/>
  <c r="O122" i="199"/>
  <c r="N122" i="199"/>
  <c r="M122" i="199"/>
  <c r="L122" i="199"/>
  <c r="K122" i="199"/>
  <c r="J122" i="199"/>
  <c r="I122" i="199"/>
  <c r="H122" i="199"/>
  <c r="G122" i="199"/>
  <c r="F122" i="199"/>
  <c r="Q121" i="199"/>
  <c r="P121" i="199"/>
  <c r="O121" i="199"/>
  <c r="N121" i="199"/>
  <c r="M121" i="199"/>
  <c r="L121" i="199"/>
  <c r="K121" i="199"/>
  <c r="J121" i="199"/>
  <c r="I121" i="199"/>
  <c r="H121" i="199"/>
  <c r="G121" i="199"/>
  <c r="F121" i="199"/>
  <c r="Q120" i="199"/>
  <c r="P120" i="199"/>
  <c r="O120" i="199"/>
  <c r="N120" i="199"/>
  <c r="M120" i="199"/>
  <c r="L120" i="199"/>
  <c r="K120" i="199"/>
  <c r="J120" i="199"/>
  <c r="I120" i="199"/>
  <c r="H120" i="199"/>
  <c r="G120" i="199"/>
  <c r="F120" i="199"/>
  <c r="Q119" i="199"/>
  <c r="P119" i="199"/>
  <c r="O119" i="199"/>
  <c r="N119" i="199"/>
  <c r="M119" i="199"/>
  <c r="L119" i="199"/>
  <c r="K119" i="199"/>
  <c r="J119" i="199"/>
  <c r="I119" i="199"/>
  <c r="H119" i="199"/>
  <c r="G119" i="199"/>
  <c r="F119" i="199"/>
  <c r="Q118" i="199"/>
  <c r="P118" i="199"/>
  <c r="O118" i="199"/>
  <c r="N118" i="199"/>
  <c r="M118" i="199"/>
  <c r="L118" i="199"/>
  <c r="K118" i="199"/>
  <c r="J118" i="199"/>
  <c r="I118" i="199"/>
  <c r="H118" i="199"/>
  <c r="G118" i="199"/>
  <c r="F118" i="199"/>
  <c r="Q117" i="199"/>
  <c r="P117" i="199"/>
  <c r="O117" i="199"/>
  <c r="N117" i="199"/>
  <c r="M117" i="199"/>
  <c r="L117" i="199"/>
  <c r="K117" i="199"/>
  <c r="J117" i="199"/>
  <c r="I117" i="199"/>
  <c r="H117" i="199"/>
  <c r="G117" i="199"/>
  <c r="F117" i="199"/>
  <c r="Q116" i="199"/>
  <c r="P116" i="199"/>
  <c r="O116" i="199"/>
  <c r="N116" i="199"/>
  <c r="M116" i="199"/>
  <c r="L116" i="199"/>
  <c r="K116" i="199"/>
  <c r="J116" i="199"/>
  <c r="I116" i="199"/>
  <c r="H116" i="199"/>
  <c r="G116" i="199"/>
  <c r="F116" i="199"/>
  <c r="Q115" i="199"/>
  <c r="P115" i="199"/>
  <c r="O115" i="199"/>
  <c r="N115" i="199"/>
  <c r="M115" i="199"/>
  <c r="L115" i="199"/>
  <c r="K115" i="199"/>
  <c r="J115" i="199"/>
  <c r="I115" i="199"/>
  <c r="H115" i="199"/>
  <c r="G115" i="199"/>
  <c r="F115" i="199"/>
  <c r="Q114" i="199"/>
  <c r="P114" i="199"/>
  <c r="O114" i="199"/>
  <c r="N114" i="199"/>
  <c r="M114" i="199"/>
  <c r="L114" i="199"/>
  <c r="K114" i="199"/>
  <c r="J114" i="199"/>
  <c r="I114" i="199"/>
  <c r="H114" i="199"/>
  <c r="G114" i="199"/>
  <c r="F114" i="199"/>
  <c r="Q113" i="199"/>
  <c r="P113" i="199"/>
  <c r="O113" i="199"/>
  <c r="N113" i="199"/>
  <c r="M113" i="199"/>
  <c r="L113" i="199"/>
  <c r="K113" i="199"/>
  <c r="J113" i="199"/>
  <c r="I113" i="199"/>
  <c r="H113" i="199"/>
  <c r="G113" i="199"/>
  <c r="F113" i="199"/>
  <c r="Q112" i="199"/>
  <c r="P112" i="199"/>
  <c r="O112" i="199"/>
  <c r="N112" i="199"/>
  <c r="M112" i="199"/>
  <c r="L112" i="199"/>
  <c r="K112" i="199"/>
  <c r="J112" i="199"/>
  <c r="I112" i="199"/>
  <c r="H112" i="199"/>
  <c r="G112" i="199"/>
  <c r="F112" i="199"/>
  <c r="Q111" i="199"/>
  <c r="P111" i="199"/>
  <c r="O111" i="199"/>
  <c r="N111" i="199"/>
  <c r="M111" i="199"/>
  <c r="L111" i="199"/>
  <c r="K111" i="199"/>
  <c r="J111" i="199"/>
  <c r="I111" i="199"/>
  <c r="H111" i="199"/>
  <c r="G111" i="199"/>
  <c r="F111" i="199"/>
  <c r="Q110" i="199"/>
  <c r="P110" i="199"/>
  <c r="O110" i="199"/>
  <c r="N110" i="199"/>
  <c r="M110" i="199"/>
  <c r="L110" i="199"/>
  <c r="K110" i="199"/>
  <c r="J110" i="199"/>
  <c r="I110" i="199"/>
  <c r="H110" i="199"/>
  <c r="G110" i="199"/>
  <c r="F110" i="199"/>
  <c r="Q109" i="199"/>
  <c r="P109" i="199"/>
  <c r="O109" i="199"/>
  <c r="N109" i="199"/>
  <c r="M109" i="199"/>
  <c r="L109" i="199"/>
  <c r="K109" i="199"/>
  <c r="J109" i="199"/>
  <c r="I109" i="199"/>
  <c r="H109" i="199"/>
  <c r="G109" i="199"/>
  <c r="F109" i="199"/>
  <c r="Q108" i="199"/>
  <c r="P108" i="199"/>
  <c r="O108" i="199"/>
  <c r="N108" i="199"/>
  <c r="M108" i="199"/>
  <c r="L108" i="199"/>
  <c r="K108" i="199"/>
  <c r="J108" i="199"/>
  <c r="I108" i="199"/>
  <c r="H108" i="199"/>
  <c r="G108" i="199"/>
  <c r="F108" i="199"/>
  <c r="Q107" i="199"/>
  <c r="P107" i="199"/>
  <c r="O107" i="199"/>
  <c r="N107" i="199"/>
  <c r="M107" i="199"/>
  <c r="L107" i="199"/>
  <c r="K107" i="199"/>
  <c r="J107" i="199"/>
  <c r="I107" i="199"/>
  <c r="H107" i="199"/>
  <c r="G107" i="199"/>
  <c r="F107" i="199"/>
  <c r="Q106" i="199"/>
  <c r="P106" i="199"/>
  <c r="O106" i="199"/>
  <c r="N106" i="199"/>
  <c r="M106" i="199"/>
  <c r="L106" i="199"/>
  <c r="K106" i="199"/>
  <c r="J106" i="199"/>
  <c r="I106" i="199"/>
  <c r="H106" i="199"/>
  <c r="G106" i="199"/>
  <c r="F106" i="199"/>
  <c r="Q105" i="199"/>
  <c r="P105" i="199"/>
  <c r="O105" i="199"/>
  <c r="N105" i="199"/>
  <c r="M105" i="199"/>
  <c r="L105" i="199"/>
  <c r="K105" i="199"/>
  <c r="J105" i="199"/>
  <c r="I105" i="199"/>
  <c r="H105" i="199"/>
  <c r="G105" i="199"/>
  <c r="F105" i="199"/>
  <c r="Q104" i="199"/>
  <c r="P104" i="199"/>
  <c r="O104" i="199"/>
  <c r="N104" i="199"/>
  <c r="M104" i="199"/>
  <c r="L104" i="199"/>
  <c r="K104" i="199"/>
  <c r="J104" i="199"/>
  <c r="I104" i="199"/>
  <c r="H104" i="199"/>
  <c r="G104" i="199"/>
  <c r="F104" i="199"/>
  <c r="Q103" i="199"/>
  <c r="P103" i="199"/>
  <c r="O103" i="199"/>
  <c r="N103" i="199"/>
  <c r="M103" i="199"/>
  <c r="L103" i="199"/>
  <c r="K103" i="199"/>
  <c r="J103" i="199"/>
  <c r="I103" i="199"/>
  <c r="H103" i="199"/>
  <c r="Q102" i="199"/>
  <c r="P102" i="199"/>
  <c r="O102" i="199"/>
  <c r="N102" i="199"/>
  <c r="M102" i="199"/>
  <c r="L102" i="199"/>
  <c r="K102" i="199"/>
  <c r="J102" i="199"/>
  <c r="I102" i="199"/>
  <c r="H102" i="199"/>
  <c r="G102" i="199"/>
  <c r="F102" i="199"/>
  <c r="Q101" i="199"/>
  <c r="P101" i="199"/>
  <c r="O101" i="199"/>
  <c r="N101" i="199"/>
  <c r="M101" i="199"/>
  <c r="L101" i="199"/>
  <c r="K101" i="199"/>
  <c r="J101" i="199"/>
  <c r="I101" i="199"/>
  <c r="H101" i="199"/>
  <c r="G101" i="199"/>
  <c r="F101" i="199"/>
  <c r="Q100" i="199"/>
  <c r="P100" i="199"/>
  <c r="O100" i="199"/>
  <c r="N100" i="199"/>
  <c r="M100" i="199"/>
  <c r="L100" i="199"/>
  <c r="K100" i="199"/>
  <c r="J100" i="199"/>
  <c r="I100" i="199"/>
  <c r="H100" i="199"/>
  <c r="G100" i="199"/>
  <c r="F100" i="199"/>
  <c r="Q99" i="199"/>
  <c r="P99" i="199"/>
  <c r="O99" i="199"/>
  <c r="N99" i="199"/>
  <c r="M99" i="199"/>
  <c r="L99" i="199"/>
  <c r="K99" i="199"/>
  <c r="J99" i="199"/>
  <c r="I99" i="199"/>
  <c r="H99" i="199"/>
  <c r="G99" i="199"/>
  <c r="F99" i="199"/>
  <c r="Q98" i="199"/>
  <c r="P98" i="199"/>
  <c r="O98" i="199"/>
  <c r="N98" i="199"/>
  <c r="M98" i="199"/>
  <c r="L98" i="199"/>
  <c r="K98" i="199"/>
  <c r="J98" i="199"/>
  <c r="I98" i="199"/>
  <c r="H98" i="199"/>
  <c r="G98" i="199"/>
  <c r="F98" i="199"/>
  <c r="Q97" i="199"/>
  <c r="P97" i="199"/>
  <c r="O97" i="199"/>
  <c r="N97" i="199"/>
  <c r="M97" i="199"/>
  <c r="L97" i="199"/>
  <c r="K97" i="199"/>
  <c r="J97" i="199"/>
  <c r="I97" i="199"/>
  <c r="H97" i="199"/>
  <c r="G97" i="199"/>
  <c r="F97" i="199"/>
  <c r="Q96" i="199"/>
  <c r="P96" i="199"/>
  <c r="O96" i="199"/>
  <c r="N96" i="199"/>
  <c r="M96" i="199"/>
  <c r="L96" i="199"/>
  <c r="K96" i="199"/>
  <c r="J96" i="199"/>
  <c r="I96" i="199"/>
  <c r="H96" i="199"/>
  <c r="G96" i="199"/>
  <c r="F96" i="199"/>
  <c r="Q95" i="199"/>
  <c r="P95" i="199"/>
  <c r="O95" i="199"/>
  <c r="N95" i="199"/>
  <c r="M95" i="199"/>
  <c r="L95" i="199"/>
  <c r="K95" i="199"/>
  <c r="J95" i="199"/>
  <c r="I95" i="199"/>
  <c r="H95" i="199"/>
  <c r="G95" i="199"/>
  <c r="F95" i="199"/>
  <c r="Q94" i="199"/>
  <c r="P94" i="199"/>
  <c r="O94" i="199"/>
  <c r="N94" i="199"/>
  <c r="M94" i="199"/>
  <c r="L94" i="199"/>
  <c r="K94" i="199"/>
  <c r="J94" i="199"/>
  <c r="I94" i="199"/>
  <c r="H94" i="199"/>
  <c r="G94" i="199"/>
  <c r="F94" i="199"/>
  <c r="Q93" i="199"/>
  <c r="P93" i="199"/>
  <c r="O93" i="199"/>
  <c r="N93" i="199"/>
  <c r="M93" i="199"/>
  <c r="L93" i="199"/>
  <c r="K93" i="199"/>
  <c r="J93" i="199"/>
  <c r="I93" i="199"/>
  <c r="H93" i="199"/>
  <c r="G93" i="199"/>
  <c r="F93" i="199"/>
  <c r="Q92" i="199"/>
  <c r="P92" i="199"/>
  <c r="O92" i="199"/>
  <c r="N92" i="199"/>
  <c r="M92" i="199"/>
  <c r="L92" i="199"/>
  <c r="K92" i="199"/>
  <c r="J92" i="199"/>
  <c r="I92" i="199"/>
  <c r="H92" i="199"/>
  <c r="G92" i="199"/>
  <c r="F92" i="199"/>
  <c r="Q91" i="199"/>
  <c r="P91" i="199"/>
  <c r="O91" i="199"/>
  <c r="N91" i="199"/>
  <c r="M91" i="199"/>
  <c r="L91" i="199"/>
  <c r="K91" i="199"/>
  <c r="J91" i="199"/>
  <c r="I91" i="199"/>
  <c r="H91" i="199"/>
  <c r="G91" i="199"/>
  <c r="F91" i="199"/>
  <c r="Q90" i="199"/>
  <c r="P90" i="199"/>
  <c r="O90" i="199"/>
  <c r="N90" i="199"/>
  <c r="M90" i="199"/>
  <c r="L90" i="199"/>
  <c r="K90" i="199"/>
  <c r="J90" i="199"/>
  <c r="I90" i="199"/>
  <c r="H90" i="199"/>
  <c r="G90" i="199"/>
  <c r="F90" i="199"/>
  <c r="Q89" i="199"/>
  <c r="P89" i="199"/>
  <c r="O89" i="199"/>
  <c r="N89" i="199"/>
  <c r="M89" i="199"/>
  <c r="L89" i="199"/>
  <c r="K89" i="199"/>
  <c r="J89" i="199"/>
  <c r="I89" i="199"/>
  <c r="H89" i="199"/>
  <c r="G89" i="199"/>
  <c r="F89" i="199"/>
  <c r="Q88" i="199"/>
  <c r="P88" i="199"/>
  <c r="O88" i="199"/>
  <c r="N88" i="199"/>
  <c r="M88" i="199"/>
  <c r="L88" i="199"/>
  <c r="K88" i="199"/>
  <c r="J88" i="199"/>
  <c r="I88" i="199"/>
  <c r="H88" i="199"/>
  <c r="G88" i="199"/>
  <c r="F88" i="199"/>
  <c r="Q87" i="199"/>
  <c r="P87" i="199"/>
  <c r="O87" i="199"/>
  <c r="N87" i="199"/>
  <c r="M87" i="199"/>
  <c r="L87" i="199"/>
  <c r="K87" i="199"/>
  <c r="J87" i="199"/>
  <c r="I87" i="199"/>
  <c r="H87" i="199"/>
  <c r="G87" i="199"/>
  <c r="F87" i="199"/>
  <c r="Q86" i="199"/>
  <c r="P86" i="199"/>
  <c r="O86" i="199"/>
  <c r="N86" i="199"/>
  <c r="M86" i="199"/>
  <c r="L86" i="199"/>
  <c r="K86" i="199"/>
  <c r="J86" i="199"/>
  <c r="I86" i="199"/>
  <c r="H86" i="199"/>
  <c r="G86" i="199"/>
  <c r="F86" i="199"/>
  <c r="Q85" i="199"/>
  <c r="P85" i="199"/>
  <c r="O85" i="199"/>
  <c r="N85" i="199"/>
  <c r="M85" i="199"/>
  <c r="L85" i="199"/>
  <c r="K85" i="199"/>
  <c r="J85" i="199"/>
  <c r="I85" i="199"/>
  <c r="H85" i="199"/>
  <c r="G85" i="199"/>
  <c r="F85" i="199"/>
  <c r="Q84" i="199"/>
  <c r="P84" i="199"/>
  <c r="O84" i="199"/>
  <c r="N84" i="199"/>
  <c r="M84" i="199"/>
  <c r="L84" i="199"/>
  <c r="K84" i="199"/>
  <c r="J84" i="199"/>
  <c r="I84" i="199"/>
  <c r="H84" i="199"/>
  <c r="G84" i="199"/>
  <c r="F84" i="199"/>
  <c r="Q83" i="199"/>
  <c r="P83" i="199"/>
  <c r="O83" i="199"/>
  <c r="N83" i="199"/>
  <c r="M83" i="199"/>
  <c r="L83" i="199"/>
  <c r="K83" i="199"/>
  <c r="J83" i="199"/>
  <c r="I83" i="199"/>
  <c r="H83" i="199"/>
  <c r="G83" i="199"/>
  <c r="F83" i="199"/>
  <c r="Q82" i="199"/>
  <c r="P82" i="199"/>
  <c r="O82" i="199"/>
  <c r="N82" i="199"/>
  <c r="M82" i="199"/>
  <c r="L82" i="199"/>
  <c r="K82" i="199"/>
  <c r="J82" i="199"/>
  <c r="I82" i="199"/>
  <c r="H82" i="199"/>
  <c r="G82" i="199"/>
  <c r="F82" i="199"/>
  <c r="Q81" i="199"/>
  <c r="P81" i="199"/>
  <c r="O81" i="199"/>
  <c r="N81" i="199"/>
  <c r="M81" i="199"/>
  <c r="L81" i="199"/>
  <c r="K81" i="199"/>
  <c r="J81" i="199"/>
  <c r="I81" i="199"/>
  <c r="H81" i="199"/>
  <c r="G81" i="199"/>
  <c r="F81" i="199"/>
  <c r="Q80" i="199"/>
  <c r="P80" i="199"/>
  <c r="O80" i="199"/>
  <c r="N80" i="199"/>
  <c r="M80" i="199"/>
  <c r="L80" i="199"/>
  <c r="K80" i="199"/>
  <c r="J80" i="199"/>
  <c r="I80" i="199"/>
  <c r="H80" i="199"/>
  <c r="G80" i="199"/>
  <c r="F80" i="199"/>
  <c r="Q79" i="199"/>
  <c r="P79" i="199"/>
  <c r="O79" i="199"/>
  <c r="N79" i="199"/>
  <c r="M79" i="199"/>
  <c r="L79" i="199"/>
  <c r="K79" i="199"/>
  <c r="J79" i="199"/>
  <c r="I79" i="199"/>
  <c r="H79" i="199"/>
  <c r="G79" i="199"/>
  <c r="F79" i="199"/>
  <c r="Q78" i="199"/>
  <c r="P78" i="199"/>
  <c r="O78" i="199"/>
  <c r="N78" i="199"/>
  <c r="M78" i="199"/>
  <c r="L78" i="199"/>
  <c r="K78" i="199"/>
  <c r="J78" i="199"/>
  <c r="I78" i="199"/>
  <c r="H78" i="199"/>
  <c r="G78" i="199"/>
  <c r="F78" i="199"/>
  <c r="Q77" i="199"/>
  <c r="P77" i="199"/>
  <c r="O77" i="199"/>
  <c r="N77" i="199"/>
  <c r="M77" i="199"/>
  <c r="L77" i="199"/>
  <c r="K77" i="199"/>
  <c r="J77" i="199"/>
  <c r="I77" i="199"/>
  <c r="H77" i="199"/>
  <c r="G77" i="199"/>
  <c r="F77" i="199"/>
  <c r="Q76" i="199"/>
  <c r="P76" i="199"/>
  <c r="O76" i="199"/>
  <c r="N76" i="199"/>
  <c r="M76" i="199"/>
  <c r="L76" i="199"/>
  <c r="K76" i="199"/>
  <c r="J76" i="199"/>
  <c r="I76" i="199"/>
  <c r="H76" i="199"/>
  <c r="G76" i="199"/>
  <c r="F76" i="199"/>
  <c r="Q75" i="199"/>
  <c r="P75" i="199"/>
  <c r="O75" i="199"/>
  <c r="N75" i="199"/>
  <c r="M75" i="199"/>
  <c r="L75" i="199"/>
  <c r="K75" i="199"/>
  <c r="J75" i="199"/>
  <c r="I75" i="199"/>
  <c r="H75" i="199"/>
  <c r="G75" i="199"/>
  <c r="F75" i="199"/>
  <c r="Q74" i="199"/>
  <c r="P74" i="199"/>
  <c r="O74" i="199"/>
  <c r="N74" i="199"/>
  <c r="M74" i="199"/>
  <c r="L74" i="199"/>
  <c r="K74" i="199"/>
  <c r="J74" i="199"/>
  <c r="I74" i="199"/>
  <c r="H74" i="199"/>
  <c r="G74" i="199"/>
  <c r="F74" i="199"/>
  <c r="Q73" i="199"/>
  <c r="P73" i="199"/>
  <c r="O73" i="199"/>
  <c r="N73" i="199"/>
  <c r="M73" i="199"/>
  <c r="L73" i="199"/>
  <c r="K73" i="199"/>
  <c r="J73" i="199"/>
  <c r="I73" i="199"/>
  <c r="H73" i="199"/>
  <c r="G73" i="199"/>
  <c r="F73" i="199"/>
  <c r="Q72" i="199"/>
  <c r="P72" i="199"/>
  <c r="O72" i="199"/>
  <c r="N72" i="199"/>
  <c r="M72" i="199"/>
  <c r="L72" i="199"/>
  <c r="K72" i="199"/>
  <c r="J72" i="199"/>
  <c r="I72" i="199"/>
  <c r="H72" i="199"/>
  <c r="G72" i="199"/>
  <c r="F72" i="199"/>
  <c r="Q71" i="199"/>
  <c r="P71" i="199"/>
  <c r="O71" i="199"/>
  <c r="N71" i="199"/>
  <c r="M71" i="199"/>
  <c r="L71" i="199"/>
  <c r="K71" i="199"/>
  <c r="J71" i="199"/>
  <c r="I71" i="199"/>
  <c r="H71" i="199"/>
  <c r="G71" i="199"/>
  <c r="F71" i="199"/>
  <c r="Q70" i="199"/>
  <c r="P70" i="199"/>
  <c r="O70" i="199"/>
  <c r="N70" i="199"/>
  <c r="M70" i="199"/>
  <c r="L70" i="199"/>
  <c r="K70" i="199"/>
  <c r="J70" i="199"/>
  <c r="I70" i="199"/>
  <c r="H70" i="199"/>
  <c r="G70" i="199"/>
  <c r="F70" i="199"/>
  <c r="Q69" i="199"/>
  <c r="P69" i="199"/>
  <c r="O69" i="199"/>
  <c r="N69" i="199"/>
  <c r="M69" i="199"/>
  <c r="L69" i="199"/>
  <c r="K69" i="199"/>
  <c r="J69" i="199"/>
  <c r="I69" i="199"/>
  <c r="H69" i="199"/>
  <c r="G69" i="199"/>
  <c r="F69" i="199"/>
  <c r="Q68" i="199"/>
  <c r="P68" i="199"/>
  <c r="O68" i="199"/>
  <c r="N68" i="199"/>
  <c r="M68" i="199"/>
  <c r="L68" i="199"/>
  <c r="K68" i="199"/>
  <c r="J68" i="199"/>
  <c r="I68" i="199"/>
  <c r="H68" i="199"/>
  <c r="G68" i="199"/>
  <c r="F68" i="199"/>
  <c r="Q67" i="199"/>
  <c r="P67" i="199"/>
  <c r="O67" i="199"/>
  <c r="N67" i="199"/>
  <c r="M67" i="199"/>
  <c r="L67" i="199"/>
  <c r="K67" i="199"/>
  <c r="J67" i="199"/>
  <c r="I67" i="199"/>
  <c r="H67" i="199"/>
  <c r="G67" i="199"/>
  <c r="F67" i="199"/>
  <c r="Q66" i="199"/>
  <c r="P66" i="199"/>
  <c r="O66" i="199"/>
  <c r="N66" i="199"/>
  <c r="M66" i="199"/>
  <c r="L66" i="199"/>
  <c r="K66" i="199"/>
  <c r="J66" i="199"/>
  <c r="I66" i="199"/>
  <c r="H66" i="199"/>
  <c r="G66" i="199"/>
  <c r="F66" i="199"/>
  <c r="Q65" i="199"/>
  <c r="P65" i="199"/>
  <c r="O65" i="199"/>
  <c r="N65" i="199"/>
  <c r="M65" i="199"/>
  <c r="L65" i="199"/>
  <c r="K65" i="199"/>
  <c r="J65" i="199"/>
  <c r="I65" i="199"/>
  <c r="H65" i="199"/>
  <c r="G65" i="199"/>
  <c r="F65" i="199"/>
  <c r="Q64" i="199"/>
  <c r="P64" i="199"/>
  <c r="O64" i="199"/>
  <c r="N64" i="199"/>
  <c r="M64" i="199"/>
  <c r="L64" i="199"/>
  <c r="K64" i="199"/>
  <c r="J64" i="199"/>
  <c r="I64" i="199"/>
  <c r="H64" i="199"/>
  <c r="G64" i="199"/>
  <c r="F64" i="199"/>
  <c r="Q63" i="199"/>
  <c r="P63" i="199"/>
  <c r="O63" i="199"/>
  <c r="N63" i="199"/>
  <c r="M63" i="199"/>
  <c r="L63" i="199"/>
  <c r="K63" i="199"/>
  <c r="J63" i="199"/>
  <c r="I63" i="199"/>
  <c r="H63" i="199"/>
  <c r="G63" i="199"/>
  <c r="F63" i="199"/>
  <c r="Q62" i="199"/>
  <c r="P62" i="199"/>
  <c r="O62" i="199"/>
  <c r="N62" i="199"/>
  <c r="M62" i="199"/>
  <c r="L62" i="199"/>
  <c r="K62" i="199"/>
  <c r="J62" i="199"/>
  <c r="I62" i="199"/>
  <c r="H62" i="199"/>
  <c r="G62" i="199"/>
  <c r="F62" i="199"/>
  <c r="Q61" i="199"/>
  <c r="P61" i="199"/>
  <c r="O61" i="199"/>
  <c r="N61" i="199"/>
  <c r="M61" i="199"/>
  <c r="L61" i="199"/>
  <c r="K61" i="199"/>
  <c r="J61" i="199"/>
  <c r="I61" i="199"/>
  <c r="H61" i="199"/>
  <c r="G61" i="199"/>
  <c r="F61" i="199"/>
  <c r="Q60" i="199"/>
  <c r="P60" i="199"/>
  <c r="O60" i="199"/>
  <c r="N60" i="199"/>
  <c r="M60" i="199"/>
  <c r="L60" i="199"/>
  <c r="K60" i="199"/>
  <c r="J60" i="199"/>
  <c r="I60" i="199"/>
  <c r="H60" i="199"/>
  <c r="G60" i="199"/>
  <c r="F60" i="199"/>
  <c r="Q59" i="199"/>
  <c r="P59" i="199"/>
  <c r="O59" i="199"/>
  <c r="N59" i="199"/>
  <c r="M59" i="199"/>
  <c r="L59" i="199"/>
  <c r="K59" i="199"/>
  <c r="J59" i="199"/>
  <c r="I59" i="199"/>
  <c r="H59" i="199"/>
  <c r="G59" i="199"/>
  <c r="F59" i="199"/>
  <c r="Q58" i="199"/>
  <c r="P58" i="199"/>
  <c r="O58" i="199"/>
  <c r="N58" i="199"/>
  <c r="M58" i="199"/>
  <c r="L58" i="199"/>
  <c r="K58" i="199"/>
  <c r="J58" i="199"/>
  <c r="I58" i="199"/>
  <c r="H58" i="199"/>
  <c r="G58" i="199"/>
  <c r="F58" i="199"/>
  <c r="Q57" i="199"/>
  <c r="P57" i="199"/>
  <c r="O57" i="199"/>
  <c r="N57" i="199"/>
  <c r="M57" i="199"/>
  <c r="L57" i="199"/>
  <c r="K57" i="199"/>
  <c r="J57" i="199"/>
  <c r="I57" i="199"/>
  <c r="H57" i="199"/>
  <c r="G57" i="199"/>
  <c r="F57" i="199"/>
  <c r="Q56" i="199"/>
  <c r="P56" i="199"/>
  <c r="O56" i="199"/>
  <c r="N56" i="199"/>
  <c r="M56" i="199"/>
  <c r="L56" i="199"/>
  <c r="K56" i="199"/>
  <c r="J56" i="199"/>
  <c r="I56" i="199"/>
  <c r="H56" i="199"/>
  <c r="G56" i="199"/>
  <c r="F56" i="199"/>
  <c r="Q55" i="199"/>
  <c r="P55" i="199"/>
  <c r="O55" i="199"/>
  <c r="N55" i="199"/>
  <c r="M55" i="199"/>
  <c r="L55" i="199"/>
  <c r="K55" i="199"/>
  <c r="J55" i="199"/>
  <c r="I55" i="199"/>
  <c r="H55" i="199"/>
  <c r="G55" i="199"/>
  <c r="F55" i="199"/>
  <c r="Q54" i="199"/>
  <c r="P54" i="199"/>
  <c r="O54" i="199"/>
  <c r="N54" i="199"/>
  <c r="M54" i="199"/>
  <c r="L54" i="199"/>
  <c r="K54" i="199"/>
  <c r="J54" i="199"/>
  <c r="I54" i="199"/>
  <c r="H54" i="199"/>
  <c r="G54" i="199"/>
  <c r="F54" i="199"/>
  <c r="Q53" i="199"/>
  <c r="P53" i="199"/>
  <c r="O53" i="199"/>
  <c r="N53" i="199"/>
  <c r="M53" i="199"/>
  <c r="L53" i="199"/>
  <c r="K53" i="199"/>
  <c r="J53" i="199"/>
  <c r="I53" i="199"/>
  <c r="H53" i="199"/>
  <c r="G53" i="199"/>
  <c r="F53" i="199"/>
  <c r="Q52" i="199"/>
  <c r="P52" i="199"/>
  <c r="O52" i="199"/>
  <c r="N52" i="199"/>
  <c r="M52" i="199"/>
  <c r="L52" i="199"/>
  <c r="K52" i="199"/>
  <c r="J52" i="199"/>
  <c r="I52" i="199"/>
  <c r="H52" i="199"/>
  <c r="G52" i="199"/>
  <c r="F52" i="199"/>
  <c r="Q51" i="199"/>
  <c r="P51" i="199"/>
  <c r="O51" i="199"/>
  <c r="N51" i="199"/>
  <c r="M51" i="199"/>
  <c r="L51" i="199"/>
  <c r="K51" i="199"/>
  <c r="J51" i="199"/>
  <c r="I51" i="199"/>
  <c r="H51" i="199"/>
  <c r="G51" i="199"/>
  <c r="F51" i="199"/>
  <c r="Q50" i="199"/>
  <c r="P50" i="199"/>
  <c r="O50" i="199"/>
  <c r="N50" i="199"/>
  <c r="M50" i="199"/>
  <c r="L50" i="199"/>
  <c r="K50" i="199"/>
  <c r="J50" i="199"/>
  <c r="I50" i="199"/>
  <c r="H50" i="199"/>
  <c r="G50" i="199"/>
  <c r="F50" i="199"/>
  <c r="Q49" i="199"/>
  <c r="P49" i="199"/>
  <c r="O49" i="199"/>
  <c r="N49" i="199"/>
  <c r="M49" i="199"/>
  <c r="L49" i="199"/>
  <c r="K49" i="199"/>
  <c r="J49" i="199"/>
  <c r="I49" i="199"/>
  <c r="H49" i="199"/>
  <c r="G49" i="199"/>
  <c r="F49" i="199"/>
  <c r="Q48" i="199"/>
  <c r="P48" i="199"/>
  <c r="O48" i="199"/>
  <c r="N48" i="199"/>
  <c r="M48" i="199"/>
  <c r="L48" i="199"/>
  <c r="K48" i="199"/>
  <c r="J48" i="199"/>
  <c r="I48" i="199"/>
  <c r="H48" i="199"/>
  <c r="G48" i="199"/>
  <c r="F48" i="199"/>
  <c r="Q47" i="199"/>
  <c r="P47" i="199"/>
  <c r="O47" i="199"/>
  <c r="N47" i="199"/>
  <c r="M47" i="199"/>
  <c r="L47" i="199"/>
  <c r="K47" i="199"/>
  <c r="J47" i="199"/>
  <c r="I47" i="199"/>
  <c r="H47" i="199"/>
  <c r="G47" i="199"/>
  <c r="F47" i="199"/>
  <c r="Q46" i="199"/>
  <c r="P46" i="199"/>
  <c r="O46" i="199"/>
  <c r="N46" i="199"/>
  <c r="M46" i="199"/>
  <c r="L46" i="199"/>
  <c r="K46" i="199"/>
  <c r="J46" i="199"/>
  <c r="I46" i="199"/>
  <c r="H46" i="199"/>
  <c r="G46" i="199"/>
  <c r="F46" i="199"/>
  <c r="Q45" i="199"/>
  <c r="P45" i="199"/>
  <c r="O45" i="199"/>
  <c r="N45" i="199"/>
  <c r="M45" i="199"/>
  <c r="L45" i="199"/>
  <c r="K45" i="199"/>
  <c r="J45" i="199"/>
  <c r="I45" i="199"/>
  <c r="H45" i="199"/>
  <c r="G45" i="199"/>
  <c r="F45" i="199"/>
  <c r="Q44" i="199"/>
  <c r="P44" i="199"/>
  <c r="O44" i="199"/>
  <c r="N44" i="199"/>
  <c r="M44" i="199"/>
  <c r="L44" i="199"/>
  <c r="K44" i="199"/>
  <c r="J44" i="199"/>
  <c r="I44" i="199"/>
  <c r="H44" i="199"/>
  <c r="G44" i="199"/>
  <c r="F44" i="199"/>
  <c r="Q43" i="199"/>
  <c r="P43" i="199"/>
  <c r="O43" i="199"/>
  <c r="N43" i="199"/>
  <c r="M43" i="199"/>
  <c r="L43" i="199"/>
  <c r="K43" i="199"/>
  <c r="J43" i="199"/>
  <c r="I43" i="199"/>
  <c r="H43" i="199"/>
  <c r="G43" i="199"/>
  <c r="F43" i="199"/>
  <c r="Q42" i="199"/>
  <c r="P42" i="199"/>
  <c r="O42" i="199"/>
  <c r="N42" i="199"/>
  <c r="M42" i="199"/>
  <c r="L42" i="199"/>
  <c r="K42" i="199"/>
  <c r="J42" i="199"/>
  <c r="I42" i="199"/>
  <c r="H42" i="199"/>
  <c r="G42" i="199"/>
  <c r="F42" i="199"/>
  <c r="Q41" i="199"/>
  <c r="P41" i="199"/>
  <c r="O41" i="199"/>
  <c r="N41" i="199"/>
  <c r="M41" i="199"/>
  <c r="L41" i="199"/>
  <c r="K41" i="199"/>
  <c r="J41" i="199"/>
  <c r="I41" i="199"/>
  <c r="H41" i="199"/>
  <c r="G41" i="199"/>
  <c r="F41" i="199"/>
  <c r="Q40" i="199"/>
  <c r="P40" i="199"/>
  <c r="O40" i="199"/>
  <c r="N40" i="199"/>
  <c r="M40" i="199"/>
  <c r="L40" i="199"/>
  <c r="K40" i="199"/>
  <c r="J40" i="199"/>
  <c r="I40" i="199"/>
  <c r="H40" i="199"/>
  <c r="G40" i="199"/>
  <c r="F40" i="199"/>
  <c r="Q39" i="199"/>
  <c r="P39" i="199"/>
  <c r="O39" i="199"/>
  <c r="N39" i="199"/>
  <c r="M39" i="199"/>
  <c r="L39" i="199"/>
  <c r="K39" i="199"/>
  <c r="J39" i="199"/>
  <c r="I39" i="199"/>
  <c r="H39" i="199"/>
  <c r="G39" i="199"/>
  <c r="F39" i="199"/>
  <c r="Q38" i="199"/>
  <c r="P38" i="199"/>
  <c r="O38" i="199"/>
  <c r="N38" i="199"/>
  <c r="M38" i="199"/>
  <c r="L38" i="199"/>
  <c r="K38" i="199"/>
  <c r="J38" i="199"/>
  <c r="I38" i="199"/>
  <c r="H38" i="199"/>
  <c r="G38" i="199"/>
  <c r="F38" i="199"/>
  <c r="Q37" i="199"/>
  <c r="P37" i="199"/>
  <c r="O37" i="199"/>
  <c r="N37" i="199"/>
  <c r="M37" i="199"/>
  <c r="L37" i="199"/>
  <c r="K37" i="199"/>
  <c r="J37" i="199"/>
  <c r="I37" i="199"/>
  <c r="H37" i="199"/>
  <c r="G37" i="199"/>
  <c r="F37" i="199"/>
  <c r="Q36" i="199"/>
  <c r="P36" i="199"/>
  <c r="O36" i="199"/>
  <c r="N36" i="199"/>
  <c r="M36" i="199"/>
  <c r="L36" i="199"/>
  <c r="K36" i="199"/>
  <c r="J36" i="199"/>
  <c r="I36" i="199"/>
  <c r="H36" i="199"/>
  <c r="G36" i="199"/>
  <c r="F36" i="199"/>
  <c r="Q35" i="199"/>
  <c r="P35" i="199"/>
  <c r="O35" i="199"/>
  <c r="N35" i="199"/>
  <c r="M35" i="199"/>
  <c r="L35" i="199"/>
  <c r="K35" i="199"/>
  <c r="J35" i="199"/>
  <c r="I35" i="199"/>
  <c r="H35" i="199"/>
  <c r="G35" i="199"/>
  <c r="F35" i="199"/>
  <c r="Q34" i="199"/>
  <c r="P34" i="199"/>
  <c r="O34" i="199"/>
  <c r="N34" i="199"/>
  <c r="M34" i="199"/>
  <c r="L34" i="199"/>
  <c r="K34" i="199"/>
  <c r="J34" i="199"/>
  <c r="I34" i="199"/>
  <c r="H34" i="199"/>
  <c r="G34" i="199"/>
  <c r="F34" i="199"/>
  <c r="Q33" i="199"/>
  <c r="P33" i="199"/>
  <c r="O33" i="199"/>
  <c r="N33" i="199"/>
  <c r="M33" i="199"/>
  <c r="L33" i="199"/>
  <c r="K33" i="199"/>
  <c r="J33" i="199"/>
  <c r="I33" i="199"/>
  <c r="H33" i="199"/>
  <c r="G33" i="199"/>
  <c r="F33" i="199"/>
  <c r="Q32" i="199"/>
  <c r="P32" i="199"/>
  <c r="O32" i="199"/>
  <c r="N32" i="199"/>
  <c r="M32" i="199"/>
  <c r="L32" i="199"/>
  <c r="K32" i="199"/>
  <c r="J32" i="199"/>
  <c r="I32" i="199"/>
  <c r="H32" i="199"/>
  <c r="G32" i="199"/>
  <c r="F32" i="199"/>
  <c r="Q29" i="199"/>
  <c r="P29" i="199"/>
  <c r="O29" i="199"/>
  <c r="N29" i="199"/>
  <c r="M29" i="199"/>
  <c r="L29" i="199"/>
  <c r="K29" i="199"/>
  <c r="J29" i="199"/>
  <c r="I29" i="199"/>
  <c r="H29" i="199"/>
  <c r="G29" i="199"/>
  <c r="F29" i="199"/>
  <c r="Q76" i="198"/>
  <c r="O76" i="198"/>
  <c r="M76" i="198"/>
  <c r="K76" i="198"/>
  <c r="I76" i="198"/>
  <c r="G76" i="198"/>
  <c r="Q75" i="198"/>
  <c r="P75" i="198"/>
  <c r="O75" i="198"/>
  <c r="N75" i="198"/>
  <c r="M75" i="198"/>
  <c r="L75" i="198"/>
  <c r="K75" i="198"/>
  <c r="J75" i="198"/>
  <c r="I75" i="198"/>
  <c r="H75" i="198"/>
  <c r="G75" i="198"/>
  <c r="F75" i="198"/>
  <c r="Q74" i="198"/>
  <c r="P74" i="198"/>
  <c r="O74" i="198"/>
  <c r="N74" i="198"/>
  <c r="M74" i="198"/>
  <c r="L74" i="198"/>
  <c r="K74" i="198"/>
  <c r="J74" i="198"/>
  <c r="I74" i="198"/>
  <c r="H74" i="198"/>
  <c r="G74" i="198"/>
  <c r="F74" i="198"/>
  <c r="Q73" i="198"/>
  <c r="P73" i="198"/>
  <c r="O73" i="198"/>
  <c r="N73" i="198"/>
  <c r="M73" i="198"/>
  <c r="L73" i="198"/>
  <c r="K73" i="198"/>
  <c r="J73" i="198"/>
  <c r="I73" i="198"/>
  <c r="H73" i="198"/>
  <c r="G73" i="198"/>
  <c r="F73" i="198"/>
  <c r="Q72" i="198"/>
  <c r="P72" i="198"/>
  <c r="O72" i="198"/>
  <c r="N72" i="198"/>
  <c r="M72" i="198"/>
  <c r="L72" i="198"/>
  <c r="K72" i="198"/>
  <c r="J72" i="198"/>
  <c r="I72" i="198"/>
  <c r="H72" i="198"/>
  <c r="G72" i="198"/>
  <c r="F72" i="198"/>
  <c r="Q71" i="198"/>
  <c r="P71" i="198"/>
  <c r="O71" i="198"/>
  <c r="N71" i="198"/>
  <c r="M71" i="198"/>
  <c r="L71" i="198"/>
  <c r="K71" i="198"/>
  <c r="J71" i="198"/>
  <c r="I71" i="198"/>
  <c r="H71" i="198"/>
  <c r="G71" i="198"/>
  <c r="F71" i="198"/>
  <c r="Q70" i="198"/>
  <c r="P70" i="198"/>
  <c r="O70" i="198"/>
  <c r="N70" i="198"/>
  <c r="M70" i="198"/>
  <c r="L70" i="198"/>
  <c r="K70" i="198"/>
  <c r="J70" i="198"/>
  <c r="I70" i="198"/>
  <c r="H70" i="198"/>
  <c r="G70" i="198"/>
  <c r="F70" i="198"/>
  <c r="Q69" i="198"/>
  <c r="P69" i="198"/>
  <c r="O69" i="198"/>
  <c r="N69" i="198"/>
  <c r="M69" i="198"/>
  <c r="L69" i="198"/>
  <c r="K69" i="198"/>
  <c r="J69" i="198"/>
  <c r="I69" i="198"/>
  <c r="H69" i="198"/>
  <c r="G69" i="198"/>
  <c r="F69" i="198"/>
  <c r="Q68" i="198"/>
  <c r="P68" i="198"/>
  <c r="O68" i="198"/>
  <c r="N68" i="198"/>
  <c r="M68" i="198"/>
  <c r="L68" i="198"/>
  <c r="K68" i="198"/>
  <c r="J68" i="198"/>
  <c r="I68" i="198"/>
  <c r="H68" i="198"/>
  <c r="G68" i="198"/>
  <c r="F68" i="198"/>
  <c r="Q67" i="198"/>
  <c r="P67" i="198"/>
  <c r="O67" i="198"/>
  <c r="N67" i="198"/>
  <c r="M67" i="198"/>
  <c r="L67" i="198"/>
  <c r="K67" i="198"/>
  <c r="J67" i="198"/>
  <c r="I67" i="198"/>
  <c r="H67" i="198"/>
  <c r="G67" i="198"/>
  <c r="F67" i="198"/>
  <c r="Q66" i="198"/>
  <c r="P66" i="198"/>
  <c r="O66" i="198"/>
  <c r="N66" i="198"/>
  <c r="M66" i="198"/>
  <c r="L66" i="198"/>
  <c r="K66" i="198"/>
  <c r="J66" i="198"/>
  <c r="I66" i="198"/>
  <c r="H66" i="198"/>
  <c r="G66" i="198"/>
  <c r="F66" i="198"/>
  <c r="Q65" i="198"/>
  <c r="P65" i="198"/>
  <c r="O65" i="198"/>
  <c r="N65" i="198"/>
  <c r="M65" i="198"/>
  <c r="L65" i="198"/>
  <c r="K65" i="198"/>
  <c r="J65" i="198"/>
  <c r="I65" i="198"/>
  <c r="H65" i="198"/>
  <c r="G65" i="198"/>
  <c r="F65" i="198"/>
  <c r="Q64" i="198"/>
  <c r="P64" i="198"/>
  <c r="O64" i="198"/>
  <c r="N64" i="198"/>
  <c r="M64" i="198"/>
  <c r="L64" i="198"/>
  <c r="K64" i="198"/>
  <c r="J64" i="198"/>
  <c r="I64" i="198"/>
  <c r="H64" i="198"/>
  <c r="G64" i="198"/>
  <c r="F64" i="198"/>
  <c r="Q63" i="198"/>
  <c r="P63" i="198"/>
  <c r="O63" i="198"/>
  <c r="N63" i="198"/>
  <c r="M63" i="198"/>
  <c r="L63" i="198"/>
  <c r="K63" i="198"/>
  <c r="J63" i="198"/>
  <c r="I63" i="198"/>
  <c r="H63" i="198"/>
  <c r="G63" i="198"/>
  <c r="F63" i="198"/>
  <c r="Q62" i="198"/>
  <c r="P62" i="198"/>
  <c r="O62" i="198"/>
  <c r="N62" i="198"/>
  <c r="M62" i="198"/>
  <c r="L62" i="198"/>
  <c r="K62" i="198"/>
  <c r="J62" i="198"/>
  <c r="I62" i="198"/>
  <c r="H62" i="198"/>
  <c r="G62" i="198"/>
  <c r="F62" i="198"/>
  <c r="Q61" i="198"/>
  <c r="P61" i="198"/>
  <c r="O61" i="198"/>
  <c r="N61" i="198"/>
  <c r="M61" i="198"/>
  <c r="L61" i="198"/>
  <c r="K61" i="198"/>
  <c r="J61" i="198"/>
  <c r="I61" i="198"/>
  <c r="H61" i="198"/>
  <c r="G61" i="198"/>
  <c r="F61" i="198"/>
  <c r="Q60" i="198"/>
  <c r="P60" i="198"/>
  <c r="O60" i="198"/>
  <c r="N60" i="198"/>
  <c r="M60" i="198"/>
  <c r="L60" i="198"/>
  <c r="K60" i="198"/>
  <c r="J60" i="198"/>
  <c r="I60" i="198"/>
  <c r="H60" i="198"/>
  <c r="G60" i="198"/>
  <c r="F60" i="198"/>
  <c r="Q59" i="198"/>
  <c r="P59" i="198"/>
  <c r="O59" i="198"/>
  <c r="N59" i="198"/>
  <c r="M59" i="198"/>
  <c r="L59" i="198"/>
  <c r="K59" i="198"/>
  <c r="J59" i="198"/>
  <c r="I59" i="198"/>
  <c r="H59" i="198"/>
  <c r="G59" i="198"/>
  <c r="F59" i="198"/>
  <c r="Q58" i="198"/>
  <c r="P58" i="198"/>
  <c r="O58" i="198"/>
  <c r="N58" i="198"/>
  <c r="M58" i="198"/>
  <c r="L58" i="198"/>
  <c r="K58" i="198"/>
  <c r="J58" i="198"/>
  <c r="I58" i="198"/>
  <c r="H58" i="198"/>
  <c r="G58" i="198"/>
  <c r="F58" i="198"/>
  <c r="Q57" i="198"/>
  <c r="P57" i="198"/>
  <c r="O57" i="198"/>
  <c r="N57" i="198"/>
  <c r="M57" i="198"/>
  <c r="L57" i="198"/>
  <c r="K57" i="198"/>
  <c r="J57" i="198"/>
  <c r="I57" i="198"/>
  <c r="H57" i="198"/>
  <c r="G57" i="198"/>
  <c r="F57" i="198"/>
  <c r="Q56" i="198"/>
  <c r="P56" i="198"/>
  <c r="O56" i="198"/>
  <c r="N56" i="198"/>
  <c r="M56" i="198"/>
  <c r="L56" i="198"/>
  <c r="K56" i="198"/>
  <c r="J56" i="198"/>
  <c r="I56" i="198"/>
  <c r="H56" i="198"/>
  <c r="G56" i="198"/>
  <c r="F56" i="198"/>
  <c r="Q55" i="198"/>
  <c r="P55" i="198"/>
  <c r="O55" i="198"/>
  <c r="N55" i="198"/>
  <c r="M55" i="198"/>
  <c r="L55" i="198"/>
  <c r="K55" i="198"/>
  <c r="J55" i="198"/>
  <c r="I55" i="198"/>
  <c r="H55" i="198"/>
  <c r="G55" i="198"/>
  <c r="F55" i="198"/>
  <c r="Q54" i="198"/>
  <c r="P54" i="198"/>
  <c r="O54" i="198"/>
  <c r="N54" i="198"/>
  <c r="M54" i="198"/>
  <c r="L54" i="198"/>
  <c r="K54" i="198"/>
  <c r="J54" i="198"/>
  <c r="I54" i="198"/>
  <c r="H54" i="198"/>
  <c r="G54" i="198"/>
  <c r="F54" i="198"/>
  <c r="Q53" i="198"/>
  <c r="P53" i="198"/>
  <c r="O53" i="198"/>
  <c r="N53" i="198"/>
  <c r="M53" i="198"/>
  <c r="L53" i="198"/>
  <c r="K53" i="198"/>
  <c r="J53" i="198"/>
  <c r="I53" i="198"/>
  <c r="H53" i="198"/>
  <c r="Q52" i="198"/>
  <c r="P52" i="198"/>
  <c r="O52" i="198"/>
  <c r="N52" i="198"/>
  <c r="M52" i="198"/>
  <c r="L52" i="198"/>
  <c r="K52" i="198"/>
  <c r="J52" i="198"/>
  <c r="I52" i="198"/>
  <c r="H52" i="198"/>
  <c r="G52" i="198"/>
  <c r="F52" i="198"/>
  <c r="Q51" i="198"/>
  <c r="P51" i="198"/>
  <c r="O51" i="198"/>
  <c r="N51" i="198"/>
  <c r="M51" i="198"/>
  <c r="L51" i="198"/>
  <c r="K51" i="198"/>
  <c r="J51" i="198"/>
  <c r="I51" i="198"/>
  <c r="H51" i="198"/>
  <c r="G51" i="198"/>
  <c r="F51" i="198"/>
  <c r="Q50" i="198"/>
  <c r="P50" i="198"/>
  <c r="O50" i="198"/>
  <c r="N50" i="198"/>
  <c r="M50" i="198"/>
  <c r="L50" i="198"/>
  <c r="K50" i="198"/>
  <c r="J50" i="198"/>
  <c r="I50" i="198"/>
  <c r="H50" i="198"/>
  <c r="G50" i="198"/>
  <c r="F50" i="198"/>
  <c r="Q49" i="198"/>
  <c r="P49" i="198"/>
  <c r="O49" i="198"/>
  <c r="N49" i="198"/>
  <c r="M49" i="198"/>
  <c r="L49" i="198"/>
  <c r="K49" i="198"/>
  <c r="J49" i="198"/>
  <c r="I49" i="198"/>
  <c r="H49" i="198"/>
  <c r="G49" i="198"/>
  <c r="F49" i="198"/>
  <c r="Q48" i="198"/>
  <c r="P48" i="198"/>
  <c r="O48" i="198"/>
  <c r="N48" i="198"/>
  <c r="M48" i="198"/>
  <c r="L48" i="198"/>
  <c r="K48" i="198"/>
  <c r="J48" i="198"/>
  <c r="I48" i="198"/>
  <c r="H48" i="198"/>
  <c r="G48" i="198"/>
  <c r="F48" i="198"/>
  <c r="Q47" i="198"/>
  <c r="P47" i="198"/>
  <c r="O47" i="198"/>
  <c r="N47" i="198"/>
  <c r="M47" i="198"/>
  <c r="L47" i="198"/>
  <c r="K47" i="198"/>
  <c r="J47" i="198"/>
  <c r="I47" i="198"/>
  <c r="H47" i="198"/>
  <c r="G47" i="198"/>
  <c r="F47" i="198"/>
  <c r="Q46" i="198"/>
  <c r="P46" i="198"/>
  <c r="O46" i="198"/>
  <c r="N46" i="198"/>
  <c r="M46" i="198"/>
  <c r="L46" i="198"/>
  <c r="K46" i="198"/>
  <c r="J46" i="198"/>
  <c r="I46" i="198"/>
  <c r="H46" i="198"/>
  <c r="G46" i="198"/>
  <c r="F46" i="198"/>
  <c r="Q45" i="198"/>
  <c r="P45" i="198"/>
  <c r="O45" i="198"/>
  <c r="N45" i="198"/>
  <c r="M45" i="198"/>
  <c r="L45" i="198"/>
  <c r="K45" i="198"/>
  <c r="J45" i="198"/>
  <c r="I45" i="198"/>
  <c r="H45" i="198"/>
  <c r="G45" i="198"/>
  <c r="F45" i="198"/>
  <c r="Q44" i="198"/>
  <c r="P44" i="198"/>
  <c r="O44" i="198"/>
  <c r="N44" i="198"/>
  <c r="M44" i="198"/>
  <c r="L44" i="198"/>
  <c r="K44" i="198"/>
  <c r="J44" i="198"/>
  <c r="I44" i="198"/>
  <c r="H44" i="198"/>
  <c r="G44" i="198"/>
  <c r="F44" i="198"/>
  <c r="Q43" i="198"/>
  <c r="P43" i="198"/>
  <c r="O43" i="198"/>
  <c r="N43" i="198"/>
  <c r="M43" i="198"/>
  <c r="L43" i="198"/>
  <c r="K43" i="198"/>
  <c r="J43" i="198"/>
  <c r="I43" i="198"/>
  <c r="H43" i="198"/>
  <c r="G43" i="198"/>
  <c r="F43" i="198"/>
  <c r="Q42" i="198"/>
  <c r="P42" i="198"/>
  <c r="O42" i="198"/>
  <c r="N42" i="198"/>
  <c r="M42" i="198"/>
  <c r="L42" i="198"/>
  <c r="K42" i="198"/>
  <c r="J42" i="198"/>
  <c r="I42" i="198"/>
  <c r="H42" i="198"/>
  <c r="G42" i="198"/>
  <c r="F42" i="198"/>
  <c r="Q41" i="198"/>
  <c r="P41" i="198"/>
  <c r="O41" i="198"/>
  <c r="N41" i="198"/>
  <c r="M41" i="198"/>
  <c r="L41" i="198"/>
  <c r="K41" i="198"/>
  <c r="J41" i="198"/>
  <c r="I41" i="198"/>
  <c r="H41" i="198"/>
  <c r="G41" i="198"/>
  <c r="F41" i="198"/>
  <c r="Q40" i="198"/>
  <c r="P40" i="198"/>
  <c r="O40" i="198"/>
  <c r="N40" i="198"/>
  <c r="M40" i="198"/>
  <c r="L40" i="198"/>
  <c r="K40" i="198"/>
  <c r="J40" i="198"/>
  <c r="I40" i="198"/>
  <c r="H40" i="198"/>
  <c r="G40" i="198"/>
  <c r="F40" i="198"/>
  <c r="Q39" i="198"/>
  <c r="P39" i="198"/>
  <c r="O39" i="198"/>
  <c r="N39" i="198"/>
  <c r="M39" i="198"/>
  <c r="L39" i="198"/>
  <c r="K39" i="198"/>
  <c r="J39" i="198"/>
  <c r="I39" i="198"/>
  <c r="H39" i="198"/>
  <c r="G39" i="198"/>
  <c r="F39" i="198"/>
  <c r="Q38" i="198"/>
  <c r="P38" i="198"/>
  <c r="O38" i="198"/>
  <c r="N38" i="198"/>
  <c r="M38" i="198"/>
  <c r="L38" i="198"/>
  <c r="K38" i="198"/>
  <c r="J38" i="198"/>
  <c r="I38" i="198"/>
  <c r="H38" i="198"/>
  <c r="G38" i="198"/>
  <c r="F38" i="198"/>
  <c r="Q37" i="198"/>
  <c r="P37" i="198"/>
  <c r="O37" i="198"/>
  <c r="N37" i="198"/>
  <c r="M37" i="198"/>
  <c r="L37" i="198"/>
  <c r="K37" i="198"/>
  <c r="J37" i="198"/>
  <c r="I37" i="198"/>
  <c r="H37" i="198"/>
  <c r="G37" i="198"/>
  <c r="F37" i="198"/>
  <c r="Q36" i="198"/>
  <c r="P36" i="198"/>
  <c r="O36" i="198"/>
  <c r="N36" i="198"/>
  <c r="M36" i="198"/>
  <c r="L36" i="198"/>
  <c r="K36" i="198"/>
  <c r="J36" i="198"/>
  <c r="I36" i="198"/>
  <c r="H36" i="198"/>
  <c r="G36" i="198"/>
  <c r="F36" i="198"/>
  <c r="Q35" i="198"/>
  <c r="P35" i="198"/>
  <c r="O35" i="198"/>
  <c r="N35" i="198"/>
  <c r="M35" i="198"/>
  <c r="L35" i="198"/>
  <c r="K35" i="198"/>
  <c r="J35" i="198"/>
  <c r="I35" i="198"/>
  <c r="H35" i="198"/>
  <c r="G35" i="198"/>
  <c r="F35" i="198"/>
  <c r="Q34" i="198"/>
  <c r="P34" i="198"/>
  <c r="O34" i="198"/>
  <c r="N34" i="198"/>
  <c r="M34" i="198"/>
  <c r="L34" i="198"/>
  <c r="K34" i="198"/>
  <c r="J34" i="198"/>
  <c r="I34" i="198"/>
  <c r="H34" i="198"/>
  <c r="G34" i="198"/>
  <c r="F34" i="198"/>
  <c r="Q33" i="198"/>
  <c r="P33" i="198"/>
  <c r="O33" i="198"/>
  <c r="N33" i="198"/>
  <c r="M33" i="198"/>
  <c r="L33" i="198"/>
  <c r="K33" i="198"/>
  <c r="J33" i="198"/>
  <c r="I33" i="198"/>
  <c r="H33" i="198"/>
  <c r="G33" i="198"/>
  <c r="F33" i="198"/>
  <c r="Q32" i="198"/>
  <c r="P32" i="198"/>
  <c r="O32" i="198"/>
  <c r="N32" i="198"/>
  <c r="M32" i="198"/>
  <c r="L32" i="198"/>
  <c r="K32" i="198"/>
  <c r="J32" i="198"/>
  <c r="I32" i="198"/>
  <c r="H32" i="198"/>
  <c r="G32" i="198"/>
  <c r="F32" i="198"/>
  <c r="Q29" i="198"/>
  <c r="P29" i="198"/>
  <c r="O29" i="198"/>
  <c r="N29" i="198"/>
  <c r="M29" i="198"/>
  <c r="L29" i="198"/>
  <c r="K29" i="198"/>
  <c r="J29" i="198"/>
  <c r="I29" i="198"/>
  <c r="H29" i="198"/>
  <c r="G29" i="198"/>
  <c r="F29" i="198"/>
  <c r="M139" i="197"/>
  <c r="Q137" i="197"/>
  <c r="O137" i="197"/>
  <c r="M137" i="197"/>
  <c r="K137" i="197"/>
  <c r="I137" i="197"/>
  <c r="G137" i="197"/>
  <c r="Q136" i="197"/>
  <c r="P136" i="197"/>
  <c r="O136" i="197"/>
  <c r="N136" i="197"/>
  <c r="M136" i="197"/>
  <c r="L136" i="197"/>
  <c r="K136" i="197"/>
  <c r="J136" i="197"/>
  <c r="I136" i="197"/>
  <c r="H136" i="197"/>
  <c r="G136" i="197"/>
  <c r="F136" i="197"/>
  <c r="Q135" i="197"/>
  <c r="P135" i="197"/>
  <c r="O135" i="197"/>
  <c r="N135" i="197"/>
  <c r="M135" i="197"/>
  <c r="L135" i="197"/>
  <c r="K135" i="197"/>
  <c r="J135" i="197"/>
  <c r="I135" i="197"/>
  <c r="H135" i="197"/>
  <c r="G135" i="197"/>
  <c r="F135" i="197"/>
  <c r="Q134" i="197"/>
  <c r="P134" i="197"/>
  <c r="O134" i="197"/>
  <c r="N134" i="197"/>
  <c r="M134" i="197"/>
  <c r="L134" i="197"/>
  <c r="K134" i="197"/>
  <c r="J134" i="197"/>
  <c r="I134" i="197"/>
  <c r="H134" i="197"/>
  <c r="G134" i="197"/>
  <c r="F134" i="197"/>
  <c r="Q133" i="197"/>
  <c r="P133" i="197"/>
  <c r="O133" i="197"/>
  <c r="N133" i="197"/>
  <c r="M133" i="197"/>
  <c r="L133" i="197"/>
  <c r="K133" i="197"/>
  <c r="J133" i="197"/>
  <c r="I133" i="197"/>
  <c r="H133" i="197"/>
  <c r="G133" i="197"/>
  <c r="F133" i="197"/>
  <c r="Q132" i="197"/>
  <c r="P132" i="197"/>
  <c r="O132" i="197"/>
  <c r="N132" i="197"/>
  <c r="M132" i="197"/>
  <c r="L132" i="197"/>
  <c r="K132" i="197"/>
  <c r="J132" i="197"/>
  <c r="I132" i="197"/>
  <c r="H132" i="197"/>
  <c r="G132" i="197"/>
  <c r="F132" i="197"/>
  <c r="Q131" i="197"/>
  <c r="P131" i="197"/>
  <c r="O131" i="197"/>
  <c r="N131" i="197"/>
  <c r="M131" i="197"/>
  <c r="L131" i="197"/>
  <c r="K131" i="197"/>
  <c r="J131" i="197"/>
  <c r="I131" i="197"/>
  <c r="H131" i="197"/>
  <c r="G131" i="197"/>
  <c r="F131" i="197"/>
  <c r="Q130" i="197"/>
  <c r="P130" i="197"/>
  <c r="O130" i="197"/>
  <c r="N130" i="197"/>
  <c r="M130" i="197"/>
  <c r="L130" i="197"/>
  <c r="K130" i="197"/>
  <c r="J130" i="197"/>
  <c r="I130" i="197"/>
  <c r="H130" i="197"/>
  <c r="G130" i="197"/>
  <c r="F130" i="197"/>
  <c r="Q129" i="197"/>
  <c r="P129" i="197"/>
  <c r="O129" i="197"/>
  <c r="N129" i="197"/>
  <c r="M129" i="197"/>
  <c r="L129" i="197"/>
  <c r="K129" i="197"/>
  <c r="J129" i="197"/>
  <c r="I129" i="197"/>
  <c r="H129" i="197"/>
  <c r="G129" i="197"/>
  <c r="F129" i="197"/>
  <c r="Q128" i="197"/>
  <c r="P128" i="197"/>
  <c r="O128" i="197"/>
  <c r="N128" i="197"/>
  <c r="M128" i="197"/>
  <c r="L128" i="197"/>
  <c r="K128" i="197"/>
  <c r="J128" i="197"/>
  <c r="I128" i="197"/>
  <c r="H128" i="197"/>
  <c r="G128" i="197"/>
  <c r="F128" i="197"/>
  <c r="Q127" i="197"/>
  <c r="P127" i="197"/>
  <c r="O127" i="197"/>
  <c r="N127" i="197"/>
  <c r="M127" i="197"/>
  <c r="L127" i="197"/>
  <c r="K127" i="197"/>
  <c r="J127" i="197"/>
  <c r="I127" i="197"/>
  <c r="H127" i="197"/>
  <c r="G127" i="197"/>
  <c r="F127" i="197"/>
  <c r="Q126" i="197"/>
  <c r="P126" i="197"/>
  <c r="O126" i="197"/>
  <c r="N126" i="197"/>
  <c r="M126" i="197"/>
  <c r="L126" i="197"/>
  <c r="K126" i="197"/>
  <c r="J126" i="197"/>
  <c r="I126" i="197"/>
  <c r="H126" i="197"/>
  <c r="G126" i="197"/>
  <c r="F126" i="197"/>
  <c r="Q125" i="197"/>
  <c r="P125" i="197"/>
  <c r="O125" i="197"/>
  <c r="N125" i="197"/>
  <c r="M125" i="197"/>
  <c r="L125" i="197"/>
  <c r="K125" i="197"/>
  <c r="J125" i="197"/>
  <c r="I125" i="197"/>
  <c r="H125" i="197"/>
  <c r="G125" i="197"/>
  <c r="F125" i="197"/>
  <c r="Q124" i="197"/>
  <c r="P124" i="197"/>
  <c r="O124" i="197"/>
  <c r="N124" i="197"/>
  <c r="M124" i="197"/>
  <c r="L124" i="197"/>
  <c r="K124" i="197"/>
  <c r="J124" i="197"/>
  <c r="I124" i="197"/>
  <c r="H124" i="197"/>
  <c r="G124" i="197"/>
  <c r="F124" i="197"/>
  <c r="Q123" i="197"/>
  <c r="P123" i="197"/>
  <c r="O123" i="197"/>
  <c r="N123" i="197"/>
  <c r="M123" i="197"/>
  <c r="L123" i="197"/>
  <c r="K123" i="197"/>
  <c r="J123" i="197"/>
  <c r="I123" i="197"/>
  <c r="H123" i="197"/>
  <c r="G123" i="197"/>
  <c r="F123" i="197"/>
  <c r="Q122" i="197"/>
  <c r="P122" i="197"/>
  <c r="O122" i="197"/>
  <c r="N122" i="197"/>
  <c r="M122" i="197"/>
  <c r="L122" i="197"/>
  <c r="K122" i="197"/>
  <c r="J122" i="197"/>
  <c r="I122" i="197"/>
  <c r="H122" i="197"/>
  <c r="G122" i="197"/>
  <c r="F122" i="197"/>
  <c r="Q121" i="197"/>
  <c r="P121" i="197"/>
  <c r="O121" i="197"/>
  <c r="N121" i="197"/>
  <c r="M121" i="197"/>
  <c r="L121" i="197"/>
  <c r="K121" i="197"/>
  <c r="J121" i="197"/>
  <c r="I121" i="197"/>
  <c r="H121" i="197"/>
  <c r="G121" i="197"/>
  <c r="F121" i="197"/>
  <c r="Q120" i="197"/>
  <c r="P120" i="197"/>
  <c r="O120" i="197"/>
  <c r="N120" i="197"/>
  <c r="M120" i="197"/>
  <c r="L120" i="197"/>
  <c r="K120" i="197"/>
  <c r="J120" i="197"/>
  <c r="I120" i="197"/>
  <c r="H120" i="197"/>
  <c r="G120" i="197"/>
  <c r="F120" i="197"/>
  <c r="Q119" i="197"/>
  <c r="P119" i="197"/>
  <c r="O119" i="197"/>
  <c r="N119" i="197"/>
  <c r="M119" i="197"/>
  <c r="L119" i="197"/>
  <c r="K119" i="197"/>
  <c r="J119" i="197"/>
  <c r="I119" i="197"/>
  <c r="H119" i="197"/>
  <c r="G119" i="197"/>
  <c r="F119" i="197"/>
  <c r="Q118" i="197"/>
  <c r="P118" i="197"/>
  <c r="O118" i="197"/>
  <c r="N118" i="197"/>
  <c r="M118" i="197"/>
  <c r="L118" i="197"/>
  <c r="K118" i="197"/>
  <c r="J118" i="197"/>
  <c r="I118" i="197"/>
  <c r="H118" i="197"/>
  <c r="G118" i="197"/>
  <c r="F118" i="197"/>
  <c r="Q117" i="197"/>
  <c r="P117" i="197"/>
  <c r="O117" i="197"/>
  <c r="N117" i="197"/>
  <c r="M117" i="197"/>
  <c r="L117" i="197"/>
  <c r="K117" i="197"/>
  <c r="J117" i="197"/>
  <c r="I117" i="197"/>
  <c r="H117" i="197"/>
  <c r="G117" i="197"/>
  <c r="F117" i="197"/>
  <c r="Q116" i="197"/>
  <c r="P116" i="197"/>
  <c r="O116" i="197"/>
  <c r="N116" i="197"/>
  <c r="M116" i="197"/>
  <c r="L116" i="197"/>
  <c r="K116" i="197"/>
  <c r="J116" i="197"/>
  <c r="I116" i="197"/>
  <c r="H116" i="197"/>
  <c r="G116" i="197"/>
  <c r="F116" i="197"/>
  <c r="Q115" i="197"/>
  <c r="P115" i="197"/>
  <c r="O115" i="197"/>
  <c r="N115" i="197"/>
  <c r="M115" i="197"/>
  <c r="L115" i="197"/>
  <c r="K115" i="197"/>
  <c r="J115" i="197"/>
  <c r="I115" i="197"/>
  <c r="H115" i="197"/>
  <c r="G115" i="197"/>
  <c r="F115" i="197"/>
  <c r="Q114" i="197"/>
  <c r="P114" i="197"/>
  <c r="O114" i="197"/>
  <c r="N114" i="197"/>
  <c r="M114" i="197"/>
  <c r="L114" i="197"/>
  <c r="K114" i="197"/>
  <c r="J114" i="197"/>
  <c r="I114" i="197"/>
  <c r="H114" i="197"/>
  <c r="G114" i="197"/>
  <c r="F114" i="197"/>
  <c r="Q113" i="197"/>
  <c r="P113" i="197"/>
  <c r="O113" i="197"/>
  <c r="N113" i="197"/>
  <c r="M113" i="197"/>
  <c r="L113" i="197"/>
  <c r="K113" i="197"/>
  <c r="J113" i="197"/>
  <c r="I113" i="197"/>
  <c r="H113" i="197"/>
  <c r="G113" i="197"/>
  <c r="F113" i="197"/>
  <c r="Q112" i="197"/>
  <c r="P112" i="197"/>
  <c r="O112" i="197"/>
  <c r="N112" i="197"/>
  <c r="M112" i="197"/>
  <c r="L112" i="197"/>
  <c r="K112" i="197"/>
  <c r="J112" i="197"/>
  <c r="I112" i="197"/>
  <c r="H112" i="197"/>
  <c r="G112" i="197"/>
  <c r="F112" i="197"/>
  <c r="Q111" i="197"/>
  <c r="P111" i="197"/>
  <c r="O111" i="197"/>
  <c r="N111" i="197"/>
  <c r="M111" i="197"/>
  <c r="L111" i="197"/>
  <c r="K111" i="197"/>
  <c r="J111" i="197"/>
  <c r="I111" i="197"/>
  <c r="H111" i="197"/>
  <c r="G111" i="197"/>
  <c r="F111" i="197"/>
  <c r="Q110" i="197"/>
  <c r="P110" i="197"/>
  <c r="O110" i="197"/>
  <c r="N110" i="197"/>
  <c r="M110" i="197"/>
  <c r="L110" i="197"/>
  <c r="K110" i="197"/>
  <c r="J110" i="197"/>
  <c r="I110" i="197"/>
  <c r="H110" i="197"/>
  <c r="G110" i="197"/>
  <c r="F110" i="197"/>
  <c r="Q109" i="197"/>
  <c r="P109" i="197"/>
  <c r="O109" i="197"/>
  <c r="N109" i="197"/>
  <c r="M109" i="197"/>
  <c r="L109" i="197"/>
  <c r="K109" i="197"/>
  <c r="J109" i="197"/>
  <c r="I109" i="197"/>
  <c r="H109" i="197"/>
  <c r="G109" i="197"/>
  <c r="F109" i="197"/>
  <c r="Q108" i="197"/>
  <c r="P108" i="197"/>
  <c r="O108" i="197"/>
  <c r="N108" i="197"/>
  <c r="M108" i="197"/>
  <c r="L108" i="197"/>
  <c r="K108" i="197"/>
  <c r="J108" i="197"/>
  <c r="I108" i="197"/>
  <c r="H108" i="197"/>
  <c r="G108" i="197"/>
  <c r="F108" i="197"/>
  <c r="Q107" i="197"/>
  <c r="P107" i="197"/>
  <c r="O107" i="197"/>
  <c r="N107" i="197"/>
  <c r="M107" i="197"/>
  <c r="L107" i="197"/>
  <c r="K107" i="197"/>
  <c r="J107" i="197"/>
  <c r="I107" i="197"/>
  <c r="H107" i="197"/>
  <c r="G107" i="197"/>
  <c r="F107" i="197"/>
  <c r="Q106" i="197"/>
  <c r="P106" i="197"/>
  <c r="O106" i="197"/>
  <c r="N106" i="197"/>
  <c r="M106" i="197"/>
  <c r="L106" i="197"/>
  <c r="K106" i="197"/>
  <c r="J106" i="197"/>
  <c r="I106" i="197"/>
  <c r="H106" i="197"/>
  <c r="G106" i="197"/>
  <c r="F106" i="197"/>
  <c r="Q105" i="197"/>
  <c r="P105" i="197"/>
  <c r="O105" i="197"/>
  <c r="N105" i="197"/>
  <c r="M105" i="197"/>
  <c r="L105" i="197"/>
  <c r="K105" i="197"/>
  <c r="J105" i="197"/>
  <c r="I105" i="197"/>
  <c r="H105" i="197"/>
  <c r="G105" i="197"/>
  <c r="F105" i="197"/>
  <c r="Q104" i="197"/>
  <c r="P104" i="197"/>
  <c r="O104" i="197"/>
  <c r="N104" i="197"/>
  <c r="M104" i="197"/>
  <c r="L104" i="197"/>
  <c r="K104" i="197"/>
  <c r="J104" i="197"/>
  <c r="I104" i="197"/>
  <c r="H104" i="197"/>
  <c r="G104" i="197"/>
  <c r="F104" i="197"/>
  <c r="Q103" i="197"/>
  <c r="P103" i="197"/>
  <c r="O103" i="197"/>
  <c r="N103" i="197"/>
  <c r="M103" i="197"/>
  <c r="L103" i="197"/>
  <c r="K103" i="197"/>
  <c r="J103" i="197"/>
  <c r="I103" i="197"/>
  <c r="H103" i="197"/>
  <c r="G103" i="197"/>
  <c r="F103" i="197"/>
  <c r="Q102" i="197"/>
  <c r="P102" i="197"/>
  <c r="O102" i="197"/>
  <c r="N102" i="197"/>
  <c r="M102" i="197"/>
  <c r="L102" i="197"/>
  <c r="K102" i="197"/>
  <c r="J102" i="197"/>
  <c r="I102" i="197"/>
  <c r="H102" i="197"/>
  <c r="G102" i="197"/>
  <c r="F102" i="197"/>
  <c r="Q101" i="197"/>
  <c r="P101" i="197"/>
  <c r="O101" i="197"/>
  <c r="N101" i="197"/>
  <c r="M101" i="197"/>
  <c r="L101" i="197"/>
  <c r="K101" i="197"/>
  <c r="J101" i="197"/>
  <c r="I101" i="197"/>
  <c r="H101" i="197"/>
  <c r="G101" i="197"/>
  <c r="F101" i="197"/>
  <c r="Q100" i="197"/>
  <c r="P100" i="197"/>
  <c r="O100" i="197"/>
  <c r="N100" i="197"/>
  <c r="M100" i="197"/>
  <c r="L100" i="197"/>
  <c r="K100" i="197"/>
  <c r="J100" i="197"/>
  <c r="I100" i="197"/>
  <c r="H100" i="197"/>
  <c r="G100" i="197"/>
  <c r="F100" i="197"/>
  <c r="Q99" i="197"/>
  <c r="P99" i="197"/>
  <c r="O99" i="197"/>
  <c r="N99" i="197"/>
  <c r="M99" i="197"/>
  <c r="L99" i="197"/>
  <c r="K99" i="197"/>
  <c r="J99" i="197"/>
  <c r="I99" i="197"/>
  <c r="H99" i="197"/>
  <c r="G99" i="197"/>
  <c r="F99" i="197"/>
  <c r="Q98" i="197"/>
  <c r="P98" i="197"/>
  <c r="O98" i="197"/>
  <c r="N98" i="197"/>
  <c r="M98" i="197"/>
  <c r="L98" i="197"/>
  <c r="K98" i="197"/>
  <c r="J98" i="197"/>
  <c r="I98" i="197"/>
  <c r="H98" i="197"/>
  <c r="G98" i="197"/>
  <c r="F98" i="197"/>
  <c r="Q97" i="197"/>
  <c r="P97" i="197"/>
  <c r="O97" i="197"/>
  <c r="N97" i="197"/>
  <c r="M97" i="197"/>
  <c r="L97" i="197"/>
  <c r="K97" i="197"/>
  <c r="J97" i="197"/>
  <c r="I97" i="197"/>
  <c r="H97" i="197"/>
  <c r="G97" i="197"/>
  <c r="F97" i="197"/>
  <c r="Q96" i="197"/>
  <c r="P96" i="197"/>
  <c r="O96" i="197"/>
  <c r="N96" i="197"/>
  <c r="M96" i="197"/>
  <c r="L96" i="197"/>
  <c r="K96" i="197"/>
  <c r="J96" i="197"/>
  <c r="I96" i="197"/>
  <c r="H96" i="197"/>
  <c r="G96" i="197"/>
  <c r="F96" i="197"/>
  <c r="Q95" i="197"/>
  <c r="P95" i="197"/>
  <c r="O95" i="197"/>
  <c r="N95" i="197"/>
  <c r="M95" i="197"/>
  <c r="L95" i="197"/>
  <c r="K95" i="197"/>
  <c r="J95" i="197"/>
  <c r="I95" i="197"/>
  <c r="H95" i="197"/>
  <c r="G95" i="197"/>
  <c r="F95" i="197"/>
  <c r="Q94" i="197"/>
  <c r="P94" i="197"/>
  <c r="O94" i="197"/>
  <c r="N94" i="197"/>
  <c r="M94" i="197"/>
  <c r="L94" i="197"/>
  <c r="K94" i="197"/>
  <c r="J94" i="197"/>
  <c r="I94" i="197"/>
  <c r="H94" i="197"/>
  <c r="G94" i="197"/>
  <c r="F94" i="197"/>
  <c r="Q93" i="197"/>
  <c r="P93" i="197"/>
  <c r="O93" i="197"/>
  <c r="N93" i="197"/>
  <c r="M93" i="197"/>
  <c r="L93" i="197"/>
  <c r="K93" i="197"/>
  <c r="J93" i="197"/>
  <c r="I93" i="197"/>
  <c r="H93" i="197"/>
  <c r="G93" i="197"/>
  <c r="F93" i="197"/>
  <c r="Q92" i="197"/>
  <c r="P92" i="197"/>
  <c r="O92" i="197"/>
  <c r="N92" i="197"/>
  <c r="M92" i="197"/>
  <c r="L92" i="197"/>
  <c r="K92" i="197"/>
  <c r="J92" i="197"/>
  <c r="I92" i="197"/>
  <c r="H92" i="197"/>
  <c r="G92" i="197"/>
  <c r="F92" i="197"/>
  <c r="Q91" i="197"/>
  <c r="P91" i="197"/>
  <c r="O91" i="197"/>
  <c r="N91" i="197"/>
  <c r="M91" i="197"/>
  <c r="L91" i="197"/>
  <c r="K91" i="197"/>
  <c r="J91" i="197"/>
  <c r="I91" i="197"/>
  <c r="H91" i="197"/>
  <c r="G91" i="197"/>
  <c r="F91" i="197"/>
  <c r="Q90" i="197"/>
  <c r="P90" i="197"/>
  <c r="O90" i="197"/>
  <c r="N90" i="197"/>
  <c r="M90" i="197"/>
  <c r="L90" i="197"/>
  <c r="K90" i="197"/>
  <c r="J90" i="197"/>
  <c r="I90" i="197"/>
  <c r="H90" i="197"/>
  <c r="G90" i="197"/>
  <c r="F90" i="197"/>
  <c r="Q89" i="197"/>
  <c r="P89" i="197"/>
  <c r="O89" i="197"/>
  <c r="N89" i="197"/>
  <c r="M89" i="197"/>
  <c r="L89" i="197"/>
  <c r="K89" i="197"/>
  <c r="J89" i="197"/>
  <c r="I89" i="197"/>
  <c r="H89" i="197"/>
  <c r="G89" i="197"/>
  <c r="F89" i="197"/>
  <c r="Q88" i="197"/>
  <c r="P88" i="197"/>
  <c r="O88" i="197"/>
  <c r="N88" i="197"/>
  <c r="M88" i="197"/>
  <c r="L88" i="197"/>
  <c r="K88" i="197"/>
  <c r="J88" i="197"/>
  <c r="I88" i="197"/>
  <c r="H88" i="197"/>
  <c r="G88" i="197"/>
  <c r="F88" i="197"/>
  <c r="Q87" i="197"/>
  <c r="P87" i="197"/>
  <c r="O87" i="197"/>
  <c r="N87" i="197"/>
  <c r="M87" i="197"/>
  <c r="L87" i="197"/>
  <c r="K87" i="197"/>
  <c r="J87" i="197"/>
  <c r="I87" i="197"/>
  <c r="H87" i="197"/>
  <c r="G87" i="197"/>
  <c r="F87" i="197"/>
  <c r="Q86" i="197"/>
  <c r="P86" i="197"/>
  <c r="O86" i="197"/>
  <c r="N86" i="197"/>
  <c r="M86" i="197"/>
  <c r="L86" i="197"/>
  <c r="K86" i="197"/>
  <c r="J86" i="197"/>
  <c r="I86" i="197"/>
  <c r="H86" i="197"/>
  <c r="G86" i="197"/>
  <c r="F86" i="197"/>
  <c r="Q85" i="197"/>
  <c r="P85" i="197"/>
  <c r="O85" i="197"/>
  <c r="N85" i="197"/>
  <c r="M85" i="197"/>
  <c r="L85" i="197"/>
  <c r="K85" i="197"/>
  <c r="J85" i="197"/>
  <c r="I85" i="197"/>
  <c r="H85" i="197"/>
  <c r="G85" i="197"/>
  <c r="F85" i="197"/>
  <c r="Q84" i="197"/>
  <c r="P84" i="197"/>
  <c r="O84" i="197"/>
  <c r="N84" i="197"/>
  <c r="M84" i="197"/>
  <c r="L84" i="197"/>
  <c r="K84" i="197"/>
  <c r="J84" i="197"/>
  <c r="I84" i="197"/>
  <c r="H84" i="197"/>
  <c r="G84" i="197"/>
  <c r="F84" i="197"/>
  <c r="Q83" i="197"/>
  <c r="P83" i="197"/>
  <c r="O83" i="197"/>
  <c r="N83" i="197"/>
  <c r="M83" i="197"/>
  <c r="L83" i="197"/>
  <c r="K83" i="197"/>
  <c r="J83" i="197"/>
  <c r="I83" i="197"/>
  <c r="H83" i="197"/>
  <c r="G83" i="197"/>
  <c r="F83" i="197"/>
  <c r="Q82" i="197"/>
  <c r="P82" i="197"/>
  <c r="O82" i="197"/>
  <c r="N82" i="197"/>
  <c r="M82" i="197"/>
  <c r="L82" i="197"/>
  <c r="K82" i="197"/>
  <c r="J82" i="197"/>
  <c r="I82" i="197"/>
  <c r="H82" i="197"/>
  <c r="G82" i="197"/>
  <c r="F82" i="197"/>
  <c r="Q81" i="197"/>
  <c r="P81" i="197"/>
  <c r="O81" i="197"/>
  <c r="N81" i="197"/>
  <c r="M81" i="197"/>
  <c r="L81" i="197"/>
  <c r="K81" i="197"/>
  <c r="J81" i="197"/>
  <c r="I81" i="197"/>
  <c r="H81" i="197"/>
  <c r="G81" i="197"/>
  <c r="F81" i="197"/>
  <c r="Q80" i="197"/>
  <c r="P80" i="197"/>
  <c r="O80" i="197"/>
  <c r="N80" i="197"/>
  <c r="M80" i="197"/>
  <c r="L80" i="197"/>
  <c r="K80" i="197"/>
  <c r="J80" i="197"/>
  <c r="I80" i="197"/>
  <c r="H80" i="197"/>
  <c r="G80" i="197"/>
  <c r="F80" i="197"/>
  <c r="Q79" i="197"/>
  <c r="P79" i="197"/>
  <c r="O79" i="197"/>
  <c r="N79" i="197"/>
  <c r="M79" i="197"/>
  <c r="L79" i="197"/>
  <c r="K79" i="197"/>
  <c r="J79" i="197"/>
  <c r="I79" i="197"/>
  <c r="H79" i="197"/>
  <c r="G79" i="197"/>
  <c r="F79" i="197"/>
  <c r="Q78" i="197"/>
  <c r="P78" i="197"/>
  <c r="O78" i="197"/>
  <c r="N78" i="197"/>
  <c r="M78" i="197"/>
  <c r="L78" i="197"/>
  <c r="K78" i="197"/>
  <c r="J78" i="197"/>
  <c r="I78" i="197"/>
  <c r="H78" i="197"/>
  <c r="G78" i="197"/>
  <c r="F78" i="197"/>
  <c r="Q77" i="197"/>
  <c r="P77" i="197"/>
  <c r="O77" i="197"/>
  <c r="N77" i="197"/>
  <c r="M77" i="197"/>
  <c r="L77" i="197"/>
  <c r="K77" i="197"/>
  <c r="J77" i="197"/>
  <c r="I77" i="197"/>
  <c r="H77" i="197"/>
  <c r="G77" i="197"/>
  <c r="F77" i="197"/>
  <c r="Q76" i="197"/>
  <c r="P76" i="197"/>
  <c r="O76" i="197"/>
  <c r="N76" i="197"/>
  <c r="M76" i="197"/>
  <c r="L76" i="197"/>
  <c r="K76" i="197"/>
  <c r="J76" i="197"/>
  <c r="I76" i="197"/>
  <c r="H76" i="197"/>
  <c r="G76" i="197"/>
  <c r="F76" i="197"/>
  <c r="Q75" i="197"/>
  <c r="P75" i="197"/>
  <c r="O75" i="197"/>
  <c r="N75" i="197"/>
  <c r="M75" i="197"/>
  <c r="L75" i="197"/>
  <c r="K75" i="197"/>
  <c r="J75" i="197"/>
  <c r="I75" i="197"/>
  <c r="H75" i="197"/>
  <c r="G75" i="197"/>
  <c r="F75" i="197"/>
  <c r="Q74" i="197"/>
  <c r="P74" i="197"/>
  <c r="O74" i="197"/>
  <c r="N74" i="197"/>
  <c r="M74" i="197"/>
  <c r="L74" i="197"/>
  <c r="K74" i="197"/>
  <c r="J74" i="197"/>
  <c r="I74" i="197"/>
  <c r="H74" i="197"/>
  <c r="G74" i="197"/>
  <c r="F74" i="197"/>
  <c r="Q73" i="197"/>
  <c r="P73" i="197"/>
  <c r="O73" i="197"/>
  <c r="N73" i="197"/>
  <c r="M73" i="197"/>
  <c r="L73" i="197"/>
  <c r="K73" i="197"/>
  <c r="J73" i="197"/>
  <c r="I73" i="197"/>
  <c r="H73" i="197"/>
  <c r="G73" i="197"/>
  <c r="F73" i="197"/>
  <c r="Q72" i="197"/>
  <c r="P72" i="197"/>
  <c r="O72" i="197"/>
  <c r="N72" i="197"/>
  <c r="M72" i="197"/>
  <c r="L72" i="197"/>
  <c r="K72" i="197"/>
  <c r="J72" i="197"/>
  <c r="I72" i="197"/>
  <c r="H72" i="197"/>
  <c r="G72" i="197"/>
  <c r="F72" i="197"/>
  <c r="Q71" i="197"/>
  <c r="P71" i="197"/>
  <c r="O71" i="197"/>
  <c r="N71" i="197"/>
  <c r="M71" i="197"/>
  <c r="L71" i="197"/>
  <c r="K71" i="197"/>
  <c r="J71" i="197"/>
  <c r="I71" i="197"/>
  <c r="H71" i="197"/>
  <c r="G71" i="197"/>
  <c r="F71" i="197"/>
  <c r="Q70" i="197"/>
  <c r="P70" i="197"/>
  <c r="O70" i="197"/>
  <c r="N70" i="197"/>
  <c r="M70" i="197"/>
  <c r="L70" i="197"/>
  <c r="K70" i="197"/>
  <c r="J70" i="197"/>
  <c r="I70" i="197"/>
  <c r="H70" i="197"/>
  <c r="G70" i="197"/>
  <c r="F70" i="197"/>
  <c r="Q69" i="197"/>
  <c r="P69" i="197"/>
  <c r="O69" i="197"/>
  <c r="N69" i="197"/>
  <c r="M69" i="197"/>
  <c r="L69" i="197"/>
  <c r="K69" i="197"/>
  <c r="J69" i="197"/>
  <c r="I69" i="197"/>
  <c r="H69" i="197"/>
  <c r="G69" i="197"/>
  <c r="F69" i="197"/>
  <c r="Q68" i="197"/>
  <c r="P68" i="197"/>
  <c r="O68" i="197"/>
  <c r="N68" i="197"/>
  <c r="M68" i="197"/>
  <c r="L68" i="197"/>
  <c r="K68" i="197"/>
  <c r="J68" i="197"/>
  <c r="I68" i="197"/>
  <c r="H68" i="197"/>
  <c r="G68" i="197"/>
  <c r="F68" i="197"/>
  <c r="Q67" i="197"/>
  <c r="P67" i="197"/>
  <c r="O67" i="197"/>
  <c r="N67" i="197"/>
  <c r="M67" i="197"/>
  <c r="L67" i="197"/>
  <c r="K67" i="197"/>
  <c r="J67" i="197"/>
  <c r="I67" i="197"/>
  <c r="H67" i="197"/>
  <c r="G67" i="197"/>
  <c r="F67" i="197"/>
  <c r="Q66" i="197"/>
  <c r="P66" i="197"/>
  <c r="O66" i="197"/>
  <c r="N66" i="197"/>
  <c r="M66" i="197"/>
  <c r="L66" i="197"/>
  <c r="K66" i="197"/>
  <c r="J66" i="197"/>
  <c r="I66" i="197"/>
  <c r="H66" i="197"/>
  <c r="G66" i="197"/>
  <c r="F66" i="197"/>
  <c r="Q65" i="197"/>
  <c r="P65" i="197"/>
  <c r="O65" i="197"/>
  <c r="N65" i="197"/>
  <c r="M65" i="197"/>
  <c r="L65" i="197"/>
  <c r="K65" i="197"/>
  <c r="J65" i="197"/>
  <c r="I65" i="197"/>
  <c r="H65" i="197"/>
  <c r="G65" i="197"/>
  <c r="F65" i="197"/>
  <c r="Q64" i="197"/>
  <c r="P64" i="197"/>
  <c r="O64" i="197"/>
  <c r="N64" i="197"/>
  <c r="M64" i="197"/>
  <c r="L64" i="197"/>
  <c r="K64" i="197"/>
  <c r="J64" i="197"/>
  <c r="I64" i="197"/>
  <c r="H64" i="197"/>
  <c r="G64" i="197"/>
  <c r="F64" i="197"/>
  <c r="Q63" i="197"/>
  <c r="P63" i="197"/>
  <c r="O63" i="197"/>
  <c r="N63" i="197"/>
  <c r="M63" i="197"/>
  <c r="L63" i="197"/>
  <c r="K63" i="197"/>
  <c r="J63" i="197"/>
  <c r="I63" i="197"/>
  <c r="H63" i="197"/>
  <c r="G63" i="197"/>
  <c r="F63" i="197"/>
  <c r="Q62" i="197"/>
  <c r="P62" i="197"/>
  <c r="O62" i="197"/>
  <c r="N62" i="197"/>
  <c r="M62" i="197"/>
  <c r="L62" i="197"/>
  <c r="K62" i="197"/>
  <c r="J62" i="197"/>
  <c r="I62" i="197"/>
  <c r="H62" i="197"/>
  <c r="G62" i="197"/>
  <c r="F62" i="197"/>
  <c r="Q61" i="197"/>
  <c r="P61" i="197"/>
  <c r="O61" i="197"/>
  <c r="N61" i="197"/>
  <c r="M61" i="197"/>
  <c r="L61" i="197"/>
  <c r="K61" i="197"/>
  <c r="J61" i="197"/>
  <c r="I61" i="197"/>
  <c r="H61" i="197"/>
  <c r="G61" i="197"/>
  <c r="F61" i="197"/>
  <c r="Q60" i="197"/>
  <c r="P60" i="197"/>
  <c r="O60" i="197"/>
  <c r="N60" i="197"/>
  <c r="M60" i="197"/>
  <c r="L60" i="197"/>
  <c r="K60" i="197"/>
  <c r="J60" i="197"/>
  <c r="I60" i="197"/>
  <c r="H60" i="197"/>
  <c r="G60" i="197"/>
  <c r="F60" i="197"/>
  <c r="Q59" i="197"/>
  <c r="P59" i="197"/>
  <c r="O59" i="197"/>
  <c r="N59" i="197"/>
  <c r="M59" i="197"/>
  <c r="L59" i="197"/>
  <c r="K59" i="197"/>
  <c r="J59" i="197"/>
  <c r="I59" i="197"/>
  <c r="H59" i="197"/>
  <c r="G59" i="197"/>
  <c r="F59" i="197"/>
  <c r="Q58" i="197"/>
  <c r="P58" i="197"/>
  <c r="O58" i="197"/>
  <c r="N58" i="197"/>
  <c r="M58" i="197"/>
  <c r="L58" i="197"/>
  <c r="K58" i="197"/>
  <c r="J58" i="197"/>
  <c r="I58" i="197"/>
  <c r="H58" i="197"/>
  <c r="G58" i="197"/>
  <c r="F58" i="197"/>
  <c r="Q57" i="197"/>
  <c r="P57" i="197"/>
  <c r="O57" i="197"/>
  <c r="N57" i="197"/>
  <c r="M57" i="197"/>
  <c r="L57" i="197"/>
  <c r="K57" i="197"/>
  <c r="J57" i="197"/>
  <c r="I57" i="197"/>
  <c r="H57" i="197"/>
  <c r="G57" i="197"/>
  <c r="F57" i="197"/>
  <c r="Q56" i="197"/>
  <c r="P56" i="197"/>
  <c r="O56" i="197"/>
  <c r="N56" i="197"/>
  <c r="M56" i="197"/>
  <c r="L56" i="197"/>
  <c r="K56" i="197"/>
  <c r="J56" i="197"/>
  <c r="I56" i="197"/>
  <c r="H56" i="197"/>
  <c r="G56" i="197"/>
  <c r="F56" i="197"/>
  <c r="Q55" i="197"/>
  <c r="P55" i="197"/>
  <c r="O55" i="197"/>
  <c r="N55" i="197"/>
  <c r="M55" i="197"/>
  <c r="L55" i="197"/>
  <c r="K55" i="197"/>
  <c r="J55" i="197"/>
  <c r="I55" i="197"/>
  <c r="H55" i="197"/>
  <c r="G55" i="197"/>
  <c r="F55" i="197"/>
  <c r="Q54" i="197"/>
  <c r="P54" i="197"/>
  <c r="O54" i="197"/>
  <c r="N54" i="197"/>
  <c r="M54" i="197"/>
  <c r="L54" i="197"/>
  <c r="K54" i="197"/>
  <c r="J54" i="197"/>
  <c r="I54" i="197"/>
  <c r="H54" i="197"/>
  <c r="G54" i="197"/>
  <c r="F54" i="197"/>
  <c r="Q53" i="197"/>
  <c r="P53" i="197"/>
  <c r="O53" i="197"/>
  <c r="N53" i="197"/>
  <c r="M53" i="197"/>
  <c r="L53" i="197"/>
  <c r="K53" i="197"/>
  <c r="J53" i="197"/>
  <c r="I53" i="197"/>
  <c r="H53" i="197"/>
  <c r="G53" i="197"/>
  <c r="F53" i="197"/>
  <c r="Q52" i="197"/>
  <c r="P52" i="197"/>
  <c r="O52" i="197"/>
  <c r="N52" i="197"/>
  <c r="M52" i="197"/>
  <c r="L52" i="197"/>
  <c r="K52" i="197"/>
  <c r="J52" i="197"/>
  <c r="I52" i="197"/>
  <c r="H52" i="197"/>
  <c r="G52" i="197"/>
  <c r="F52" i="197"/>
  <c r="Q51" i="197"/>
  <c r="P51" i="197"/>
  <c r="O51" i="197"/>
  <c r="N51" i="197"/>
  <c r="M51" i="197"/>
  <c r="L51" i="197"/>
  <c r="K51" i="197"/>
  <c r="J51" i="197"/>
  <c r="I51" i="197"/>
  <c r="H51" i="197"/>
  <c r="G51" i="197"/>
  <c r="F51" i="197"/>
  <c r="Q50" i="197"/>
  <c r="P50" i="197"/>
  <c r="O50" i="197"/>
  <c r="N50" i="197"/>
  <c r="M50" i="197"/>
  <c r="L50" i="197"/>
  <c r="K50" i="197"/>
  <c r="J50" i="197"/>
  <c r="I50" i="197"/>
  <c r="H50" i="197"/>
  <c r="G50" i="197"/>
  <c r="F50" i="197"/>
  <c r="Q49" i="197"/>
  <c r="P49" i="197"/>
  <c r="O49" i="197"/>
  <c r="N49" i="197"/>
  <c r="M49" i="197"/>
  <c r="L49" i="197"/>
  <c r="K49" i="197"/>
  <c r="J49" i="197"/>
  <c r="I49" i="197"/>
  <c r="H49" i="197"/>
  <c r="G49" i="197"/>
  <c r="F49" i="197"/>
  <c r="Q48" i="197"/>
  <c r="P48" i="197"/>
  <c r="O48" i="197"/>
  <c r="N48" i="197"/>
  <c r="M48" i="197"/>
  <c r="L48" i="197"/>
  <c r="K48" i="197"/>
  <c r="J48" i="197"/>
  <c r="I48" i="197"/>
  <c r="H48" i="197"/>
  <c r="G48" i="197"/>
  <c r="F48" i="197"/>
  <c r="Q47" i="197"/>
  <c r="P47" i="197"/>
  <c r="O47" i="197"/>
  <c r="N47" i="197"/>
  <c r="M47" i="197"/>
  <c r="L47" i="197"/>
  <c r="K47" i="197"/>
  <c r="J47" i="197"/>
  <c r="I47" i="197"/>
  <c r="H47" i="197"/>
  <c r="G47" i="197"/>
  <c r="F47" i="197"/>
  <c r="Q46" i="197"/>
  <c r="P46" i="197"/>
  <c r="O46" i="197"/>
  <c r="N46" i="197"/>
  <c r="M46" i="197"/>
  <c r="L46" i="197"/>
  <c r="K46" i="197"/>
  <c r="J46" i="197"/>
  <c r="I46" i="197"/>
  <c r="H46" i="197"/>
  <c r="G46" i="197"/>
  <c r="F46" i="197"/>
  <c r="Q45" i="197"/>
  <c r="P45" i="197"/>
  <c r="O45" i="197"/>
  <c r="N45" i="197"/>
  <c r="M45" i="197"/>
  <c r="L45" i="197"/>
  <c r="K45" i="197"/>
  <c r="J45" i="197"/>
  <c r="I45" i="197"/>
  <c r="H45" i="197"/>
  <c r="G45" i="197"/>
  <c r="F45" i="197"/>
  <c r="Q44" i="197"/>
  <c r="P44" i="197"/>
  <c r="O44" i="197"/>
  <c r="N44" i="197"/>
  <c r="M44" i="197"/>
  <c r="L44" i="197"/>
  <c r="K44" i="197"/>
  <c r="J44" i="197"/>
  <c r="I44" i="197"/>
  <c r="H44" i="197"/>
  <c r="G44" i="197"/>
  <c r="F44" i="197"/>
  <c r="Q43" i="197"/>
  <c r="P43" i="197"/>
  <c r="O43" i="197"/>
  <c r="N43" i="197"/>
  <c r="M43" i="197"/>
  <c r="L43" i="197"/>
  <c r="K43" i="197"/>
  <c r="J43" i="197"/>
  <c r="I43" i="197"/>
  <c r="H43" i="197"/>
  <c r="G43" i="197"/>
  <c r="F43" i="197"/>
  <c r="Q42" i="197"/>
  <c r="P42" i="197"/>
  <c r="O42" i="197"/>
  <c r="N42" i="197"/>
  <c r="M42" i="197"/>
  <c r="L42" i="197"/>
  <c r="K42" i="197"/>
  <c r="J42" i="197"/>
  <c r="I42" i="197"/>
  <c r="H42" i="197"/>
  <c r="G42" i="197"/>
  <c r="F42" i="197"/>
  <c r="Q41" i="197"/>
  <c r="P41" i="197"/>
  <c r="O41" i="197"/>
  <c r="N41" i="197"/>
  <c r="M41" i="197"/>
  <c r="L41" i="197"/>
  <c r="K41" i="197"/>
  <c r="J41" i="197"/>
  <c r="I41" i="197"/>
  <c r="H41" i="197"/>
  <c r="G41" i="197"/>
  <c r="F41" i="197"/>
  <c r="Q40" i="197"/>
  <c r="P40" i="197"/>
  <c r="O40" i="197"/>
  <c r="N40" i="197"/>
  <c r="M40" i="197"/>
  <c r="L40" i="197"/>
  <c r="K40" i="197"/>
  <c r="J40" i="197"/>
  <c r="I40" i="197"/>
  <c r="H40" i="197"/>
  <c r="G40" i="197"/>
  <c r="F40" i="197"/>
  <c r="Q39" i="197"/>
  <c r="P39" i="197"/>
  <c r="O39" i="197"/>
  <c r="N39" i="197"/>
  <c r="M39" i="197"/>
  <c r="L39" i="197"/>
  <c r="K39" i="197"/>
  <c r="J39" i="197"/>
  <c r="I39" i="197"/>
  <c r="H39" i="197"/>
  <c r="G39" i="197"/>
  <c r="F39" i="197"/>
  <c r="Q38" i="197"/>
  <c r="P38" i="197"/>
  <c r="O38" i="197"/>
  <c r="N38" i="197"/>
  <c r="M38" i="197"/>
  <c r="L38" i="197"/>
  <c r="K38" i="197"/>
  <c r="J38" i="197"/>
  <c r="I38" i="197"/>
  <c r="H38" i="197"/>
  <c r="G38" i="197"/>
  <c r="F38" i="197"/>
  <c r="Q37" i="197"/>
  <c r="P37" i="197"/>
  <c r="O37" i="197"/>
  <c r="N37" i="197"/>
  <c r="M37" i="197"/>
  <c r="L37" i="197"/>
  <c r="K37" i="197"/>
  <c r="J37" i="197"/>
  <c r="I37" i="197"/>
  <c r="H37" i="197"/>
  <c r="G37" i="197"/>
  <c r="F37" i="197"/>
  <c r="Q36" i="197"/>
  <c r="P36" i="197"/>
  <c r="O36" i="197"/>
  <c r="N36" i="197"/>
  <c r="M36" i="197"/>
  <c r="L36" i="197"/>
  <c r="K36" i="197"/>
  <c r="J36" i="197"/>
  <c r="I36" i="197"/>
  <c r="H36" i="197"/>
  <c r="G36" i="197"/>
  <c r="F36" i="197"/>
  <c r="Q35" i="197"/>
  <c r="P35" i="197"/>
  <c r="O35" i="197"/>
  <c r="N35" i="197"/>
  <c r="M35" i="197"/>
  <c r="L35" i="197"/>
  <c r="K35" i="197"/>
  <c r="J35" i="197"/>
  <c r="I35" i="197"/>
  <c r="H35" i="197"/>
  <c r="G35" i="197"/>
  <c r="F35" i="197"/>
  <c r="Q34" i="197"/>
  <c r="P34" i="197"/>
  <c r="O34" i="197"/>
  <c r="N34" i="197"/>
  <c r="M34" i="197"/>
  <c r="L34" i="197"/>
  <c r="K34" i="197"/>
  <c r="J34" i="197"/>
  <c r="I34" i="197"/>
  <c r="H34" i="197"/>
  <c r="G34" i="197"/>
  <c r="F34" i="197"/>
  <c r="Q33" i="197"/>
  <c r="P33" i="197"/>
  <c r="O33" i="197"/>
  <c r="N33" i="197"/>
  <c r="M33" i="197"/>
  <c r="L33" i="197"/>
  <c r="K33" i="197"/>
  <c r="J33" i="197"/>
  <c r="I33" i="197"/>
  <c r="H33" i="197"/>
  <c r="G33" i="197"/>
  <c r="F33" i="197"/>
  <c r="Q30" i="197"/>
  <c r="P30" i="197"/>
  <c r="O30" i="197"/>
  <c r="N30" i="197"/>
  <c r="M30" i="197"/>
  <c r="L30" i="197"/>
  <c r="K30" i="197"/>
  <c r="J30" i="197"/>
  <c r="I30" i="197"/>
  <c r="H30" i="197"/>
  <c r="G30" i="197"/>
  <c r="F30" i="197"/>
  <c r="Q137" i="196"/>
  <c r="O137" i="196"/>
  <c r="M137" i="196"/>
  <c r="K137" i="196"/>
  <c r="I137" i="196"/>
  <c r="G137" i="196"/>
  <c r="Q136" i="196"/>
  <c r="P136" i="196"/>
  <c r="O136" i="196"/>
  <c r="N136" i="196"/>
  <c r="M136" i="196"/>
  <c r="L136" i="196"/>
  <c r="K136" i="196"/>
  <c r="J136" i="196"/>
  <c r="I136" i="196"/>
  <c r="H136" i="196"/>
  <c r="G136" i="196"/>
  <c r="F136" i="196"/>
  <c r="Q135" i="196"/>
  <c r="P135" i="196"/>
  <c r="O135" i="196"/>
  <c r="N135" i="196"/>
  <c r="M135" i="196"/>
  <c r="L135" i="196"/>
  <c r="K135" i="196"/>
  <c r="J135" i="196"/>
  <c r="I135" i="196"/>
  <c r="H135" i="196"/>
  <c r="G135" i="196"/>
  <c r="F135" i="196"/>
  <c r="Q134" i="196"/>
  <c r="P134" i="196"/>
  <c r="O134" i="196"/>
  <c r="N134" i="196"/>
  <c r="M134" i="196"/>
  <c r="L134" i="196"/>
  <c r="K134" i="196"/>
  <c r="J134" i="196"/>
  <c r="I134" i="196"/>
  <c r="H134" i="196"/>
  <c r="G134" i="196"/>
  <c r="F134" i="196"/>
  <c r="Q133" i="196"/>
  <c r="P133" i="196"/>
  <c r="O133" i="196"/>
  <c r="N133" i="196"/>
  <c r="M133" i="196"/>
  <c r="L133" i="196"/>
  <c r="K133" i="196"/>
  <c r="J133" i="196"/>
  <c r="I133" i="196"/>
  <c r="H133" i="196"/>
  <c r="G133" i="196"/>
  <c r="F133" i="196"/>
  <c r="Q132" i="196"/>
  <c r="P132" i="196"/>
  <c r="O132" i="196"/>
  <c r="N132" i="196"/>
  <c r="M132" i="196"/>
  <c r="L132" i="196"/>
  <c r="K132" i="196"/>
  <c r="J132" i="196"/>
  <c r="I132" i="196"/>
  <c r="H132" i="196"/>
  <c r="G132" i="196"/>
  <c r="F132" i="196"/>
  <c r="Q131" i="196"/>
  <c r="P131" i="196"/>
  <c r="O131" i="196"/>
  <c r="N131" i="196"/>
  <c r="M131" i="196"/>
  <c r="L131" i="196"/>
  <c r="K131" i="196"/>
  <c r="J131" i="196"/>
  <c r="I131" i="196"/>
  <c r="H131" i="196"/>
  <c r="G131" i="196"/>
  <c r="F131" i="196"/>
  <c r="Q130" i="196"/>
  <c r="P130" i="196"/>
  <c r="O130" i="196"/>
  <c r="N130" i="196"/>
  <c r="M130" i="196"/>
  <c r="L130" i="196"/>
  <c r="K130" i="196"/>
  <c r="J130" i="196"/>
  <c r="I130" i="196"/>
  <c r="H130" i="196"/>
  <c r="G130" i="196"/>
  <c r="F130" i="196"/>
  <c r="Q129" i="196"/>
  <c r="P129" i="196"/>
  <c r="O129" i="196"/>
  <c r="N129" i="196"/>
  <c r="M129" i="196"/>
  <c r="L129" i="196"/>
  <c r="K129" i="196"/>
  <c r="J129" i="196"/>
  <c r="I129" i="196"/>
  <c r="H129" i="196"/>
  <c r="G129" i="196"/>
  <c r="F129" i="196"/>
  <c r="Q128" i="196"/>
  <c r="P128" i="196"/>
  <c r="O128" i="196"/>
  <c r="N128" i="196"/>
  <c r="M128" i="196"/>
  <c r="L128" i="196"/>
  <c r="K128" i="196"/>
  <c r="J128" i="196"/>
  <c r="I128" i="196"/>
  <c r="H128" i="196"/>
  <c r="G128" i="196"/>
  <c r="F128" i="196"/>
  <c r="Q127" i="196"/>
  <c r="P127" i="196"/>
  <c r="O127" i="196"/>
  <c r="N127" i="196"/>
  <c r="M127" i="196"/>
  <c r="L127" i="196"/>
  <c r="K127" i="196"/>
  <c r="J127" i="196"/>
  <c r="I127" i="196"/>
  <c r="H127" i="196"/>
  <c r="G127" i="196"/>
  <c r="F127" i="196"/>
  <c r="Q126" i="196"/>
  <c r="P126" i="196"/>
  <c r="O126" i="196"/>
  <c r="N126" i="196"/>
  <c r="M126" i="196"/>
  <c r="L126" i="196"/>
  <c r="K126" i="196"/>
  <c r="J126" i="196"/>
  <c r="I126" i="196"/>
  <c r="H126" i="196"/>
  <c r="G126" i="196"/>
  <c r="F126" i="196"/>
  <c r="Q125" i="196"/>
  <c r="P125" i="196"/>
  <c r="O125" i="196"/>
  <c r="N125" i="196"/>
  <c r="M125" i="196"/>
  <c r="L125" i="196"/>
  <c r="K125" i="196"/>
  <c r="J125" i="196"/>
  <c r="I125" i="196"/>
  <c r="H125" i="196"/>
  <c r="G125" i="196"/>
  <c r="F125" i="196"/>
  <c r="Q124" i="196"/>
  <c r="P124" i="196"/>
  <c r="O124" i="196"/>
  <c r="N124" i="196"/>
  <c r="M124" i="196"/>
  <c r="L124" i="196"/>
  <c r="K124" i="196"/>
  <c r="J124" i="196"/>
  <c r="I124" i="196"/>
  <c r="H124" i="196"/>
  <c r="G124" i="196"/>
  <c r="F124" i="196"/>
  <c r="Q123" i="196"/>
  <c r="P123" i="196"/>
  <c r="O123" i="196"/>
  <c r="N123" i="196"/>
  <c r="M123" i="196"/>
  <c r="L123" i="196"/>
  <c r="K123" i="196"/>
  <c r="J123" i="196"/>
  <c r="I123" i="196"/>
  <c r="H123" i="196"/>
  <c r="G123" i="196"/>
  <c r="F123" i="196"/>
  <c r="Q122" i="196"/>
  <c r="P122" i="196"/>
  <c r="O122" i="196"/>
  <c r="N122" i="196"/>
  <c r="M122" i="196"/>
  <c r="L122" i="196"/>
  <c r="K122" i="196"/>
  <c r="J122" i="196"/>
  <c r="I122" i="196"/>
  <c r="H122" i="196"/>
  <c r="G122" i="196"/>
  <c r="F122" i="196"/>
  <c r="Q121" i="196"/>
  <c r="P121" i="196"/>
  <c r="O121" i="196"/>
  <c r="N121" i="196"/>
  <c r="M121" i="196"/>
  <c r="L121" i="196"/>
  <c r="K121" i="196"/>
  <c r="J121" i="196"/>
  <c r="I121" i="196"/>
  <c r="H121" i="196"/>
  <c r="G121" i="196"/>
  <c r="F121" i="196"/>
  <c r="Q120" i="196"/>
  <c r="P120" i="196"/>
  <c r="O120" i="196"/>
  <c r="N120" i="196"/>
  <c r="M120" i="196"/>
  <c r="L120" i="196"/>
  <c r="K120" i="196"/>
  <c r="J120" i="196"/>
  <c r="I120" i="196"/>
  <c r="H120" i="196"/>
  <c r="G120" i="196"/>
  <c r="F120" i="196"/>
  <c r="Q119" i="196"/>
  <c r="P119" i="196"/>
  <c r="O119" i="196"/>
  <c r="N119" i="196"/>
  <c r="M119" i="196"/>
  <c r="L119" i="196"/>
  <c r="K119" i="196"/>
  <c r="J119" i="196"/>
  <c r="I119" i="196"/>
  <c r="H119" i="196"/>
  <c r="G119" i="196"/>
  <c r="F119" i="196"/>
  <c r="Q118" i="196"/>
  <c r="P118" i="196"/>
  <c r="O118" i="196"/>
  <c r="N118" i="196"/>
  <c r="M118" i="196"/>
  <c r="L118" i="196"/>
  <c r="K118" i="196"/>
  <c r="J118" i="196"/>
  <c r="I118" i="196"/>
  <c r="H118" i="196"/>
  <c r="G118" i="196"/>
  <c r="F118" i="196"/>
  <c r="Q117" i="196"/>
  <c r="P117" i="196"/>
  <c r="O117" i="196"/>
  <c r="N117" i="196"/>
  <c r="M117" i="196"/>
  <c r="L117" i="196"/>
  <c r="K117" i="196"/>
  <c r="J117" i="196"/>
  <c r="I117" i="196"/>
  <c r="H117" i="196"/>
  <c r="G117" i="196"/>
  <c r="F117" i="196"/>
  <c r="Q116" i="196"/>
  <c r="P116" i="196"/>
  <c r="O116" i="196"/>
  <c r="N116" i="196"/>
  <c r="M116" i="196"/>
  <c r="L116" i="196"/>
  <c r="K116" i="196"/>
  <c r="J116" i="196"/>
  <c r="I116" i="196"/>
  <c r="H116" i="196"/>
  <c r="G116" i="196"/>
  <c r="F116" i="196"/>
  <c r="Q115" i="196"/>
  <c r="P115" i="196"/>
  <c r="O115" i="196"/>
  <c r="N115" i="196"/>
  <c r="M115" i="196"/>
  <c r="L115" i="196"/>
  <c r="K115" i="196"/>
  <c r="J115" i="196"/>
  <c r="I115" i="196"/>
  <c r="H115" i="196"/>
  <c r="G115" i="196"/>
  <c r="F115" i="196"/>
  <c r="Q114" i="196"/>
  <c r="P114" i="196"/>
  <c r="O114" i="196"/>
  <c r="N114" i="196"/>
  <c r="M114" i="196"/>
  <c r="L114" i="196"/>
  <c r="K114" i="196"/>
  <c r="J114" i="196"/>
  <c r="I114" i="196"/>
  <c r="H114" i="196"/>
  <c r="G114" i="196"/>
  <c r="F114" i="196"/>
  <c r="Q113" i="196"/>
  <c r="P113" i="196"/>
  <c r="O113" i="196"/>
  <c r="N113" i="196"/>
  <c r="M113" i="196"/>
  <c r="L113" i="196"/>
  <c r="K113" i="196"/>
  <c r="J113" i="196"/>
  <c r="I113" i="196"/>
  <c r="H113" i="196"/>
  <c r="G113" i="196"/>
  <c r="F113" i="196"/>
  <c r="Q112" i="196"/>
  <c r="P112" i="196"/>
  <c r="O112" i="196"/>
  <c r="N112" i="196"/>
  <c r="M112" i="196"/>
  <c r="L112" i="196"/>
  <c r="K112" i="196"/>
  <c r="J112" i="196"/>
  <c r="I112" i="196"/>
  <c r="H112" i="196"/>
  <c r="G112" i="196"/>
  <c r="F112" i="196"/>
  <c r="Q111" i="196"/>
  <c r="P111" i="196"/>
  <c r="O111" i="196"/>
  <c r="N111" i="196"/>
  <c r="M111" i="196"/>
  <c r="L111" i="196"/>
  <c r="K111" i="196"/>
  <c r="J111" i="196"/>
  <c r="I111" i="196"/>
  <c r="H111" i="196"/>
  <c r="G111" i="196"/>
  <c r="F111" i="196"/>
  <c r="Q110" i="196"/>
  <c r="P110" i="196"/>
  <c r="O110" i="196"/>
  <c r="N110" i="196"/>
  <c r="M110" i="196"/>
  <c r="L110" i="196"/>
  <c r="K110" i="196"/>
  <c r="J110" i="196"/>
  <c r="I110" i="196"/>
  <c r="H110" i="196"/>
  <c r="G110" i="196"/>
  <c r="F110" i="196"/>
  <c r="Q109" i="196"/>
  <c r="P109" i="196"/>
  <c r="O109" i="196"/>
  <c r="N109" i="196"/>
  <c r="M109" i="196"/>
  <c r="L109" i="196"/>
  <c r="K109" i="196"/>
  <c r="J109" i="196"/>
  <c r="I109" i="196"/>
  <c r="H109" i="196"/>
  <c r="G109" i="196"/>
  <c r="F109" i="196"/>
  <c r="Q108" i="196"/>
  <c r="P108" i="196"/>
  <c r="O108" i="196"/>
  <c r="N108" i="196"/>
  <c r="M108" i="196"/>
  <c r="L108" i="196"/>
  <c r="K108" i="196"/>
  <c r="J108" i="196"/>
  <c r="I108" i="196"/>
  <c r="H108" i="196"/>
  <c r="G108" i="196"/>
  <c r="F108" i="196"/>
  <c r="Q107" i="196"/>
  <c r="P107" i="196"/>
  <c r="O107" i="196"/>
  <c r="N107" i="196"/>
  <c r="M107" i="196"/>
  <c r="L107" i="196"/>
  <c r="K107" i="196"/>
  <c r="J107" i="196"/>
  <c r="I107" i="196"/>
  <c r="H107" i="196"/>
  <c r="G107" i="196"/>
  <c r="F107" i="196"/>
  <c r="Q106" i="196"/>
  <c r="P106" i="196"/>
  <c r="O106" i="196"/>
  <c r="N106" i="196"/>
  <c r="M106" i="196"/>
  <c r="L106" i="196"/>
  <c r="K106" i="196"/>
  <c r="J106" i="196"/>
  <c r="I106" i="196"/>
  <c r="H106" i="196"/>
  <c r="G106" i="196"/>
  <c r="F106" i="196"/>
  <c r="Q105" i="196"/>
  <c r="P105" i="196"/>
  <c r="O105" i="196"/>
  <c r="N105" i="196"/>
  <c r="M105" i="196"/>
  <c r="L105" i="196"/>
  <c r="K105" i="196"/>
  <c r="J105" i="196"/>
  <c r="I105" i="196"/>
  <c r="H105" i="196"/>
  <c r="G105" i="196"/>
  <c r="F105" i="196"/>
  <c r="Q104" i="196"/>
  <c r="P104" i="196"/>
  <c r="O104" i="196"/>
  <c r="N104" i="196"/>
  <c r="M104" i="196"/>
  <c r="L104" i="196"/>
  <c r="K104" i="196"/>
  <c r="J104" i="196"/>
  <c r="I104" i="196"/>
  <c r="H104" i="196"/>
  <c r="G104" i="196"/>
  <c r="F104" i="196"/>
  <c r="Q103" i="196"/>
  <c r="P103" i="196"/>
  <c r="O103" i="196"/>
  <c r="N103" i="196"/>
  <c r="M103" i="196"/>
  <c r="L103" i="196"/>
  <c r="K103" i="196"/>
  <c r="J103" i="196"/>
  <c r="I103" i="196"/>
  <c r="H103" i="196"/>
  <c r="G103" i="196"/>
  <c r="F103" i="196"/>
  <c r="Q102" i="196"/>
  <c r="P102" i="196"/>
  <c r="O102" i="196"/>
  <c r="N102" i="196"/>
  <c r="M102" i="196"/>
  <c r="L102" i="196"/>
  <c r="K102" i="196"/>
  <c r="J102" i="196"/>
  <c r="I102" i="196"/>
  <c r="H102" i="196"/>
  <c r="G102" i="196"/>
  <c r="F102" i="196"/>
  <c r="Q101" i="196"/>
  <c r="P101" i="196"/>
  <c r="O101" i="196"/>
  <c r="N101" i="196"/>
  <c r="M101" i="196"/>
  <c r="L101" i="196"/>
  <c r="K101" i="196"/>
  <c r="J101" i="196"/>
  <c r="I101" i="196"/>
  <c r="H101" i="196"/>
  <c r="G101" i="196"/>
  <c r="F101" i="196"/>
  <c r="Q100" i="196"/>
  <c r="P100" i="196"/>
  <c r="O100" i="196"/>
  <c r="N100" i="196"/>
  <c r="M100" i="196"/>
  <c r="L100" i="196"/>
  <c r="K100" i="196"/>
  <c r="J100" i="196"/>
  <c r="I100" i="196"/>
  <c r="H100" i="196"/>
  <c r="G100" i="196"/>
  <c r="F100" i="196"/>
  <c r="Q99" i="196"/>
  <c r="P99" i="196"/>
  <c r="O99" i="196"/>
  <c r="N99" i="196"/>
  <c r="M99" i="196"/>
  <c r="L99" i="196"/>
  <c r="K99" i="196"/>
  <c r="J99" i="196"/>
  <c r="I99" i="196"/>
  <c r="H99" i="196"/>
  <c r="G99" i="196"/>
  <c r="F99" i="196"/>
  <c r="Q98" i="196"/>
  <c r="P98" i="196"/>
  <c r="O98" i="196"/>
  <c r="N98" i="196"/>
  <c r="M98" i="196"/>
  <c r="L98" i="196"/>
  <c r="K98" i="196"/>
  <c r="J98" i="196"/>
  <c r="I98" i="196"/>
  <c r="H98" i="196"/>
  <c r="G98" i="196"/>
  <c r="F98" i="196"/>
  <c r="Q97" i="196"/>
  <c r="P97" i="196"/>
  <c r="O97" i="196"/>
  <c r="N97" i="196"/>
  <c r="M97" i="196"/>
  <c r="L97" i="196"/>
  <c r="K97" i="196"/>
  <c r="J97" i="196"/>
  <c r="I97" i="196"/>
  <c r="H97" i="196"/>
  <c r="G97" i="196"/>
  <c r="F97" i="196"/>
  <c r="Q96" i="196"/>
  <c r="P96" i="196"/>
  <c r="O96" i="196"/>
  <c r="N96" i="196"/>
  <c r="M96" i="196"/>
  <c r="L96" i="196"/>
  <c r="K96" i="196"/>
  <c r="J96" i="196"/>
  <c r="I96" i="196"/>
  <c r="H96" i="196"/>
  <c r="G96" i="196"/>
  <c r="F96" i="196"/>
  <c r="Q95" i="196"/>
  <c r="P95" i="196"/>
  <c r="O95" i="196"/>
  <c r="N95" i="196"/>
  <c r="M95" i="196"/>
  <c r="L95" i="196"/>
  <c r="K95" i="196"/>
  <c r="J95" i="196"/>
  <c r="I95" i="196"/>
  <c r="H95" i="196"/>
  <c r="G95" i="196"/>
  <c r="F95" i="196"/>
  <c r="Q94" i="196"/>
  <c r="P94" i="196"/>
  <c r="O94" i="196"/>
  <c r="N94" i="196"/>
  <c r="M94" i="196"/>
  <c r="L94" i="196"/>
  <c r="K94" i="196"/>
  <c r="J94" i="196"/>
  <c r="I94" i="196"/>
  <c r="H94" i="196"/>
  <c r="G94" i="196"/>
  <c r="F94" i="196"/>
  <c r="Q93" i="196"/>
  <c r="P93" i="196"/>
  <c r="O93" i="196"/>
  <c r="N93" i="196"/>
  <c r="M93" i="196"/>
  <c r="L93" i="196"/>
  <c r="K93" i="196"/>
  <c r="J93" i="196"/>
  <c r="I93" i="196"/>
  <c r="H93" i="196"/>
  <c r="G93" i="196"/>
  <c r="F93" i="196"/>
  <c r="Q92" i="196"/>
  <c r="P92" i="196"/>
  <c r="O92" i="196"/>
  <c r="N92" i="196"/>
  <c r="M92" i="196"/>
  <c r="L92" i="196"/>
  <c r="K92" i="196"/>
  <c r="J92" i="196"/>
  <c r="I92" i="196"/>
  <c r="H92" i="196"/>
  <c r="G92" i="196"/>
  <c r="F92" i="196"/>
  <c r="Q91" i="196"/>
  <c r="P91" i="196"/>
  <c r="O91" i="196"/>
  <c r="N91" i="196"/>
  <c r="M91" i="196"/>
  <c r="L91" i="196"/>
  <c r="K91" i="196"/>
  <c r="J91" i="196"/>
  <c r="I91" i="196"/>
  <c r="H91" i="196"/>
  <c r="G91" i="196"/>
  <c r="F91" i="196"/>
  <c r="Q90" i="196"/>
  <c r="P90" i="196"/>
  <c r="O90" i="196"/>
  <c r="N90" i="196"/>
  <c r="M90" i="196"/>
  <c r="L90" i="196"/>
  <c r="K90" i="196"/>
  <c r="J90" i="196"/>
  <c r="I90" i="196"/>
  <c r="H90" i="196"/>
  <c r="G90" i="196"/>
  <c r="F90" i="196"/>
  <c r="Q89" i="196"/>
  <c r="P89" i="196"/>
  <c r="O89" i="196"/>
  <c r="N89" i="196"/>
  <c r="M89" i="196"/>
  <c r="L89" i="196"/>
  <c r="K89" i="196"/>
  <c r="J89" i="196"/>
  <c r="I89" i="196"/>
  <c r="H89" i="196"/>
  <c r="G89" i="196"/>
  <c r="F89" i="196"/>
  <c r="Q88" i="196"/>
  <c r="P88" i="196"/>
  <c r="O88" i="196"/>
  <c r="N88" i="196"/>
  <c r="M88" i="196"/>
  <c r="L88" i="196"/>
  <c r="K88" i="196"/>
  <c r="J88" i="196"/>
  <c r="I88" i="196"/>
  <c r="H88" i="196"/>
  <c r="G88" i="196"/>
  <c r="F88" i="196"/>
  <c r="Q87" i="196"/>
  <c r="P87" i="196"/>
  <c r="O87" i="196"/>
  <c r="N87" i="196"/>
  <c r="M87" i="196"/>
  <c r="L87" i="196"/>
  <c r="K87" i="196"/>
  <c r="J87" i="196"/>
  <c r="I87" i="196"/>
  <c r="H87" i="196"/>
  <c r="G87" i="196"/>
  <c r="F87" i="196"/>
  <c r="Q86" i="196"/>
  <c r="P86" i="196"/>
  <c r="O86" i="196"/>
  <c r="N86" i="196"/>
  <c r="M86" i="196"/>
  <c r="L86" i="196"/>
  <c r="K86" i="196"/>
  <c r="J86" i="196"/>
  <c r="I86" i="196"/>
  <c r="H86" i="196"/>
  <c r="G86" i="196"/>
  <c r="F86" i="196"/>
  <c r="Q85" i="196"/>
  <c r="P85" i="196"/>
  <c r="O85" i="196"/>
  <c r="N85" i="196"/>
  <c r="M85" i="196"/>
  <c r="L85" i="196"/>
  <c r="K85" i="196"/>
  <c r="J85" i="196"/>
  <c r="I85" i="196"/>
  <c r="H85" i="196"/>
  <c r="G85" i="196"/>
  <c r="F85" i="196"/>
  <c r="Q84" i="196"/>
  <c r="P84" i="196"/>
  <c r="O84" i="196"/>
  <c r="N84" i="196"/>
  <c r="M84" i="196"/>
  <c r="L84" i="196"/>
  <c r="K84" i="196"/>
  <c r="J84" i="196"/>
  <c r="I84" i="196"/>
  <c r="H84" i="196"/>
  <c r="G84" i="196"/>
  <c r="F84" i="196"/>
  <c r="Q83" i="196"/>
  <c r="P83" i="196"/>
  <c r="O83" i="196"/>
  <c r="N83" i="196"/>
  <c r="M83" i="196"/>
  <c r="L83" i="196"/>
  <c r="K83" i="196"/>
  <c r="J83" i="196"/>
  <c r="I83" i="196"/>
  <c r="H83" i="196"/>
  <c r="G83" i="196"/>
  <c r="F83" i="196"/>
  <c r="Q82" i="196"/>
  <c r="P82" i="196"/>
  <c r="O82" i="196"/>
  <c r="N82" i="196"/>
  <c r="M82" i="196"/>
  <c r="L82" i="196"/>
  <c r="K82" i="196"/>
  <c r="J82" i="196"/>
  <c r="I82" i="196"/>
  <c r="H82" i="196"/>
  <c r="G82" i="196"/>
  <c r="F82" i="196"/>
  <c r="Q81" i="196"/>
  <c r="P81" i="196"/>
  <c r="O81" i="196"/>
  <c r="N81" i="196"/>
  <c r="M81" i="196"/>
  <c r="L81" i="196"/>
  <c r="K81" i="196"/>
  <c r="J81" i="196"/>
  <c r="I81" i="196"/>
  <c r="H81" i="196"/>
  <c r="G81" i="196"/>
  <c r="F81" i="196"/>
  <c r="Q80" i="196"/>
  <c r="P80" i="196"/>
  <c r="O80" i="196"/>
  <c r="N80" i="196"/>
  <c r="M80" i="196"/>
  <c r="L80" i="196"/>
  <c r="K80" i="196"/>
  <c r="J80" i="196"/>
  <c r="I80" i="196"/>
  <c r="H80" i="196"/>
  <c r="G80" i="196"/>
  <c r="F80" i="196"/>
  <c r="Q79" i="196"/>
  <c r="P79" i="196"/>
  <c r="O79" i="196"/>
  <c r="N79" i="196"/>
  <c r="M79" i="196"/>
  <c r="L79" i="196"/>
  <c r="K79" i="196"/>
  <c r="J79" i="196"/>
  <c r="I79" i="196"/>
  <c r="H79" i="196"/>
  <c r="G79" i="196"/>
  <c r="F79" i="196"/>
  <c r="Q78" i="196"/>
  <c r="P78" i="196"/>
  <c r="O78" i="196"/>
  <c r="N78" i="196"/>
  <c r="M78" i="196"/>
  <c r="L78" i="196"/>
  <c r="K78" i="196"/>
  <c r="J78" i="196"/>
  <c r="I78" i="196"/>
  <c r="H78" i="196"/>
  <c r="G78" i="196"/>
  <c r="F78" i="196"/>
  <c r="Q77" i="196"/>
  <c r="P77" i="196"/>
  <c r="O77" i="196"/>
  <c r="N77" i="196"/>
  <c r="M77" i="196"/>
  <c r="L77" i="196"/>
  <c r="K77" i="196"/>
  <c r="J77" i="196"/>
  <c r="I77" i="196"/>
  <c r="H77" i="196"/>
  <c r="G77" i="196"/>
  <c r="F77" i="196"/>
  <c r="Q76" i="196"/>
  <c r="P76" i="196"/>
  <c r="O76" i="196"/>
  <c r="N76" i="196"/>
  <c r="M76" i="196"/>
  <c r="L76" i="196"/>
  <c r="K76" i="196"/>
  <c r="J76" i="196"/>
  <c r="I76" i="196"/>
  <c r="H76" i="196"/>
  <c r="G76" i="196"/>
  <c r="F76" i="196"/>
  <c r="Q75" i="196"/>
  <c r="P75" i="196"/>
  <c r="O75" i="196"/>
  <c r="N75" i="196"/>
  <c r="M75" i="196"/>
  <c r="L75" i="196"/>
  <c r="K75" i="196"/>
  <c r="J75" i="196"/>
  <c r="I75" i="196"/>
  <c r="H75" i="196"/>
  <c r="G75" i="196"/>
  <c r="F75" i="196"/>
  <c r="Q74" i="196"/>
  <c r="P74" i="196"/>
  <c r="O74" i="196"/>
  <c r="N74" i="196"/>
  <c r="M74" i="196"/>
  <c r="L74" i="196"/>
  <c r="K74" i="196"/>
  <c r="J74" i="196"/>
  <c r="I74" i="196"/>
  <c r="H74" i="196"/>
  <c r="G74" i="196"/>
  <c r="F74" i="196"/>
  <c r="Q73" i="196"/>
  <c r="P73" i="196"/>
  <c r="O73" i="196"/>
  <c r="N73" i="196"/>
  <c r="M73" i="196"/>
  <c r="L73" i="196"/>
  <c r="K73" i="196"/>
  <c r="J73" i="196"/>
  <c r="I73" i="196"/>
  <c r="H73" i="196"/>
  <c r="G73" i="196"/>
  <c r="F73" i="196"/>
  <c r="Q72" i="196"/>
  <c r="P72" i="196"/>
  <c r="O72" i="196"/>
  <c r="N72" i="196"/>
  <c r="M72" i="196"/>
  <c r="L72" i="196"/>
  <c r="K72" i="196"/>
  <c r="J72" i="196"/>
  <c r="I72" i="196"/>
  <c r="H72" i="196"/>
  <c r="G72" i="196"/>
  <c r="F72" i="196"/>
  <c r="Q71" i="196"/>
  <c r="P71" i="196"/>
  <c r="O71" i="196"/>
  <c r="N71" i="196"/>
  <c r="M71" i="196"/>
  <c r="L71" i="196"/>
  <c r="K71" i="196"/>
  <c r="J71" i="196"/>
  <c r="I71" i="196"/>
  <c r="H71" i="196"/>
  <c r="G71" i="196"/>
  <c r="F71" i="196"/>
  <c r="Q70" i="196"/>
  <c r="P70" i="196"/>
  <c r="O70" i="196"/>
  <c r="N70" i="196"/>
  <c r="M70" i="196"/>
  <c r="L70" i="196"/>
  <c r="K70" i="196"/>
  <c r="J70" i="196"/>
  <c r="I70" i="196"/>
  <c r="H70" i="196"/>
  <c r="G70" i="196"/>
  <c r="F70" i="196"/>
  <c r="Q69" i="196"/>
  <c r="P69" i="196"/>
  <c r="O69" i="196"/>
  <c r="N69" i="196"/>
  <c r="M69" i="196"/>
  <c r="L69" i="196"/>
  <c r="K69" i="196"/>
  <c r="J69" i="196"/>
  <c r="I69" i="196"/>
  <c r="H69" i="196"/>
  <c r="G69" i="196"/>
  <c r="F69" i="196"/>
  <c r="Q68" i="196"/>
  <c r="P68" i="196"/>
  <c r="O68" i="196"/>
  <c r="N68" i="196"/>
  <c r="M68" i="196"/>
  <c r="L68" i="196"/>
  <c r="K68" i="196"/>
  <c r="J68" i="196"/>
  <c r="I68" i="196"/>
  <c r="H68" i="196"/>
  <c r="G68" i="196"/>
  <c r="F68" i="196"/>
  <c r="Q67" i="196"/>
  <c r="P67" i="196"/>
  <c r="O67" i="196"/>
  <c r="N67" i="196"/>
  <c r="M67" i="196"/>
  <c r="L67" i="196"/>
  <c r="K67" i="196"/>
  <c r="J67" i="196"/>
  <c r="I67" i="196"/>
  <c r="H67" i="196"/>
  <c r="G67" i="196"/>
  <c r="F67" i="196"/>
  <c r="Q66" i="196"/>
  <c r="P66" i="196"/>
  <c r="O66" i="196"/>
  <c r="N66" i="196"/>
  <c r="M66" i="196"/>
  <c r="L66" i="196"/>
  <c r="K66" i="196"/>
  <c r="J66" i="196"/>
  <c r="I66" i="196"/>
  <c r="H66" i="196"/>
  <c r="G66" i="196"/>
  <c r="F66" i="196"/>
  <c r="Q65" i="196"/>
  <c r="P65" i="196"/>
  <c r="O65" i="196"/>
  <c r="N65" i="196"/>
  <c r="M65" i="196"/>
  <c r="L65" i="196"/>
  <c r="K65" i="196"/>
  <c r="J65" i="196"/>
  <c r="I65" i="196"/>
  <c r="H65" i="196"/>
  <c r="G65" i="196"/>
  <c r="F65" i="196"/>
  <c r="Q64" i="196"/>
  <c r="P64" i="196"/>
  <c r="O64" i="196"/>
  <c r="N64" i="196"/>
  <c r="M64" i="196"/>
  <c r="L64" i="196"/>
  <c r="K64" i="196"/>
  <c r="J64" i="196"/>
  <c r="I64" i="196"/>
  <c r="H64" i="196"/>
  <c r="G64" i="196"/>
  <c r="F64" i="196"/>
  <c r="Q63" i="196"/>
  <c r="P63" i="196"/>
  <c r="O63" i="196"/>
  <c r="N63" i="196"/>
  <c r="M63" i="196"/>
  <c r="L63" i="196"/>
  <c r="K63" i="196"/>
  <c r="J63" i="196"/>
  <c r="I63" i="196"/>
  <c r="H63" i="196"/>
  <c r="G63" i="196"/>
  <c r="F63" i="196"/>
  <c r="Q62" i="196"/>
  <c r="P62" i="196"/>
  <c r="O62" i="196"/>
  <c r="N62" i="196"/>
  <c r="M62" i="196"/>
  <c r="L62" i="196"/>
  <c r="K62" i="196"/>
  <c r="J62" i="196"/>
  <c r="I62" i="196"/>
  <c r="H62" i="196"/>
  <c r="G62" i="196"/>
  <c r="F62" i="196"/>
  <c r="Q61" i="196"/>
  <c r="P61" i="196"/>
  <c r="O61" i="196"/>
  <c r="N61" i="196"/>
  <c r="M61" i="196"/>
  <c r="L61" i="196"/>
  <c r="K61" i="196"/>
  <c r="J61" i="196"/>
  <c r="I61" i="196"/>
  <c r="H61" i="196"/>
  <c r="G61" i="196"/>
  <c r="F61" i="196"/>
  <c r="Q60" i="196"/>
  <c r="P60" i="196"/>
  <c r="O60" i="196"/>
  <c r="N60" i="196"/>
  <c r="M60" i="196"/>
  <c r="L60" i="196"/>
  <c r="K60" i="196"/>
  <c r="J60" i="196"/>
  <c r="I60" i="196"/>
  <c r="H60" i="196"/>
  <c r="G60" i="196"/>
  <c r="F60" i="196"/>
  <c r="Q59" i="196"/>
  <c r="P59" i="196"/>
  <c r="O59" i="196"/>
  <c r="N59" i="196"/>
  <c r="M59" i="196"/>
  <c r="L59" i="196"/>
  <c r="K59" i="196"/>
  <c r="J59" i="196"/>
  <c r="I59" i="196"/>
  <c r="H59" i="196"/>
  <c r="G59" i="196"/>
  <c r="F59" i="196"/>
  <c r="Q58" i="196"/>
  <c r="P58" i="196"/>
  <c r="O58" i="196"/>
  <c r="N58" i="196"/>
  <c r="M58" i="196"/>
  <c r="L58" i="196"/>
  <c r="K58" i="196"/>
  <c r="J58" i="196"/>
  <c r="I58" i="196"/>
  <c r="H58" i="196"/>
  <c r="G58" i="196"/>
  <c r="F58" i="196"/>
  <c r="Q57" i="196"/>
  <c r="P57" i="196"/>
  <c r="O57" i="196"/>
  <c r="N57" i="196"/>
  <c r="M57" i="196"/>
  <c r="L57" i="196"/>
  <c r="K57" i="196"/>
  <c r="J57" i="196"/>
  <c r="I57" i="196"/>
  <c r="H57" i="196"/>
  <c r="G57" i="196"/>
  <c r="F57" i="196"/>
  <c r="Q56" i="196"/>
  <c r="P56" i="196"/>
  <c r="O56" i="196"/>
  <c r="N56" i="196"/>
  <c r="M56" i="196"/>
  <c r="L56" i="196"/>
  <c r="K56" i="196"/>
  <c r="J56" i="196"/>
  <c r="I56" i="196"/>
  <c r="H56" i="196"/>
  <c r="G56" i="196"/>
  <c r="F56" i="196"/>
  <c r="Q55" i="196"/>
  <c r="P55" i="196"/>
  <c r="O55" i="196"/>
  <c r="N55" i="196"/>
  <c r="M55" i="196"/>
  <c r="L55" i="196"/>
  <c r="K55" i="196"/>
  <c r="J55" i="196"/>
  <c r="I55" i="196"/>
  <c r="H55" i="196"/>
  <c r="G55" i="196"/>
  <c r="F55" i="196"/>
  <c r="Q54" i="196"/>
  <c r="P54" i="196"/>
  <c r="O54" i="196"/>
  <c r="N54" i="196"/>
  <c r="M54" i="196"/>
  <c r="L54" i="196"/>
  <c r="K54" i="196"/>
  <c r="J54" i="196"/>
  <c r="I54" i="196"/>
  <c r="H54" i="196"/>
  <c r="G54" i="196"/>
  <c r="F54" i="196"/>
  <c r="Q53" i="196"/>
  <c r="P53" i="196"/>
  <c r="O53" i="196"/>
  <c r="N53" i="196"/>
  <c r="M53" i="196"/>
  <c r="L53" i="196"/>
  <c r="K53" i="196"/>
  <c r="J53" i="196"/>
  <c r="I53" i="196"/>
  <c r="H53" i="196"/>
  <c r="G53" i="196"/>
  <c r="F53" i="196"/>
  <c r="Q52" i="196"/>
  <c r="P52" i="196"/>
  <c r="O52" i="196"/>
  <c r="N52" i="196"/>
  <c r="M52" i="196"/>
  <c r="L52" i="196"/>
  <c r="K52" i="196"/>
  <c r="J52" i="196"/>
  <c r="I52" i="196"/>
  <c r="H52" i="196"/>
  <c r="G52" i="196"/>
  <c r="F52" i="196"/>
  <c r="Q51" i="196"/>
  <c r="P51" i="196"/>
  <c r="O51" i="196"/>
  <c r="N51" i="196"/>
  <c r="M51" i="196"/>
  <c r="L51" i="196"/>
  <c r="K51" i="196"/>
  <c r="J51" i="196"/>
  <c r="I51" i="196"/>
  <c r="H51" i="196"/>
  <c r="G51" i="196"/>
  <c r="F51" i="196"/>
  <c r="Q50" i="196"/>
  <c r="P50" i="196"/>
  <c r="O50" i="196"/>
  <c r="N50" i="196"/>
  <c r="M50" i="196"/>
  <c r="L50" i="196"/>
  <c r="K50" i="196"/>
  <c r="J50" i="196"/>
  <c r="I50" i="196"/>
  <c r="H50" i="196"/>
  <c r="G50" i="196"/>
  <c r="F50" i="196"/>
  <c r="Q49" i="196"/>
  <c r="P49" i="196"/>
  <c r="O49" i="196"/>
  <c r="N49" i="196"/>
  <c r="M49" i="196"/>
  <c r="L49" i="196"/>
  <c r="K49" i="196"/>
  <c r="J49" i="196"/>
  <c r="I49" i="196"/>
  <c r="H49" i="196"/>
  <c r="G49" i="196"/>
  <c r="F49" i="196"/>
  <c r="Q48" i="196"/>
  <c r="P48" i="196"/>
  <c r="O48" i="196"/>
  <c r="N48" i="196"/>
  <c r="M48" i="196"/>
  <c r="L48" i="196"/>
  <c r="K48" i="196"/>
  <c r="J48" i="196"/>
  <c r="I48" i="196"/>
  <c r="H48" i="196"/>
  <c r="G48" i="196"/>
  <c r="F48" i="196"/>
  <c r="Q47" i="196"/>
  <c r="P47" i="196"/>
  <c r="O47" i="196"/>
  <c r="N47" i="196"/>
  <c r="M47" i="196"/>
  <c r="L47" i="196"/>
  <c r="K47" i="196"/>
  <c r="J47" i="196"/>
  <c r="I47" i="196"/>
  <c r="H47" i="196"/>
  <c r="G47" i="196"/>
  <c r="F47" i="196"/>
  <c r="Q46" i="196"/>
  <c r="P46" i="196"/>
  <c r="O46" i="196"/>
  <c r="N46" i="196"/>
  <c r="M46" i="196"/>
  <c r="L46" i="196"/>
  <c r="K46" i="196"/>
  <c r="J46" i="196"/>
  <c r="I46" i="196"/>
  <c r="H46" i="196"/>
  <c r="G46" i="196"/>
  <c r="F46" i="196"/>
  <c r="Q45" i="196"/>
  <c r="P45" i="196"/>
  <c r="O45" i="196"/>
  <c r="N45" i="196"/>
  <c r="M45" i="196"/>
  <c r="L45" i="196"/>
  <c r="K45" i="196"/>
  <c r="J45" i="196"/>
  <c r="I45" i="196"/>
  <c r="H45" i="196"/>
  <c r="G45" i="196"/>
  <c r="F45" i="196"/>
  <c r="Q44" i="196"/>
  <c r="P44" i="196"/>
  <c r="O44" i="196"/>
  <c r="N44" i="196"/>
  <c r="M44" i="196"/>
  <c r="L44" i="196"/>
  <c r="K44" i="196"/>
  <c r="J44" i="196"/>
  <c r="I44" i="196"/>
  <c r="H44" i="196"/>
  <c r="G44" i="196"/>
  <c r="F44" i="196"/>
  <c r="Q43" i="196"/>
  <c r="P43" i="196"/>
  <c r="O43" i="196"/>
  <c r="N43" i="196"/>
  <c r="M43" i="196"/>
  <c r="L43" i="196"/>
  <c r="K43" i="196"/>
  <c r="J43" i="196"/>
  <c r="I43" i="196"/>
  <c r="H43" i="196"/>
  <c r="G43" i="196"/>
  <c r="F43" i="196"/>
  <c r="Q42" i="196"/>
  <c r="P42" i="196"/>
  <c r="O42" i="196"/>
  <c r="N42" i="196"/>
  <c r="M42" i="196"/>
  <c r="L42" i="196"/>
  <c r="K42" i="196"/>
  <c r="J42" i="196"/>
  <c r="I42" i="196"/>
  <c r="H42" i="196"/>
  <c r="G42" i="196"/>
  <c r="F42" i="196"/>
  <c r="Q41" i="196"/>
  <c r="P41" i="196"/>
  <c r="O41" i="196"/>
  <c r="N41" i="196"/>
  <c r="M41" i="196"/>
  <c r="L41" i="196"/>
  <c r="K41" i="196"/>
  <c r="J41" i="196"/>
  <c r="I41" i="196"/>
  <c r="H41" i="196"/>
  <c r="G41" i="196"/>
  <c r="F41" i="196"/>
  <c r="Q40" i="196"/>
  <c r="P40" i="196"/>
  <c r="O40" i="196"/>
  <c r="N40" i="196"/>
  <c r="M40" i="196"/>
  <c r="L40" i="196"/>
  <c r="K40" i="196"/>
  <c r="J40" i="196"/>
  <c r="I40" i="196"/>
  <c r="H40" i="196"/>
  <c r="G40" i="196"/>
  <c r="F40" i="196"/>
  <c r="Q39" i="196"/>
  <c r="P39" i="196"/>
  <c r="O39" i="196"/>
  <c r="N39" i="196"/>
  <c r="M39" i="196"/>
  <c r="L39" i="196"/>
  <c r="K39" i="196"/>
  <c r="J39" i="196"/>
  <c r="I39" i="196"/>
  <c r="H39" i="196"/>
  <c r="G39" i="196"/>
  <c r="F39" i="196"/>
  <c r="Q38" i="196"/>
  <c r="P38" i="196"/>
  <c r="O38" i="196"/>
  <c r="N38" i="196"/>
  <c r="M38" i="196"/>
  <c r="L38" i="196"/>
  <c r="K38" i="196"/>
  <c r="J38" i="196"/>
  <c r="I38" i="196"/>
  <c r="H38" i="196"/>
  <c r="G38" i="196"/>
  <c r="F38" i="196"/>
  <c r="Q37" i="196"/>
  <c r="P37" i="196"/>
  <c r="O37" i="196"/>
  <c r="N37" i="196"/>
  <c r="M37" i="196"/>
  <c r="L37" i="196"/>
  <c r="K37" i="196"/>
  <c r="J37" i="196"/>
  <c r="I37" i="196"/>
  <c r="H37" i="196"/>
  <c r="G37" i="196"/>
  <c r="F37" i="196"/>
  <c r="Q36" i="196"/>
  <c r="P36" i="196"/>
  <c r="O36" i="196"/>
  <c r="N36" i="196"/>
  <c r="M36" i="196"/>
  <c r="L36" i="196"/>
  <c r="K36" i="196"/>
  <c r="J36" i="196"/>
  <c r="I36" i="196"/>
  <c r="H36" i="196"/>
  <c r="G36" i="196"/>
  <c r="F36" i="196"/>
  <c r="Q35" i="196"/>
  <c r="P35" i="196"/>
  <c r="O35" i="196"/>
  <c r="N35" i="196"/>
  <c r="M35" i="196"/>
  <c r="L35" i="196"/>
  <c r="K35" i="196"/>
  <c r="J35" i="196"/>
  <c r="I35" i="196"/>
  <c r="H35" i="196"/>
  <c r="G35" i="196"/>
  <c r="F35" i="196"/>
  <c r="Q34" i="196"/>
  <c r="P34" i="196"/>
  <c r="O34" i="196"/>
  <c r="N34" i="196"/>
  <c r="M34" i="196"/>
  <c r="L34" i="196"/>
  <c r="K34" i="196"/>
  <c r="J34" i="196"/>
  <c r="I34" i="196"/>
  <c r="H34" i="196"/>
  <c r="G34" i="196"/>
  <c r="F34" i="196"/>
  <c r="Q33" i="196"/>
  <c r="P33" i="196"/>
  <c r="O33" i="196"/>
  <c r="N33" i="196"/>
  <c r="M33" i="196"/>
  <c r="L33" i="196"/>
  <c r="K33" i="196"/>
  <c r="J33" i="196"/>
  <c r="I33" i="196"/>
  <c r="H33" i="196"/>
  <c r="G33" i="196"/>
  <c r="F33" i="196"/>
  <c r="Q30" i="196"/>
  <c r="P30" i="196"/>
  <c r="O30" i="196"/>
  <c r="N30" i="196"/>
  <c r="M30" i="196"/>
  <c r="L30" i="196"/>
  <c r="K30" i="196"/>
  <c r="J30" i="196"/>
  <c r="I30" i="196"/>
  <c r="H30" i="196"/>
  <c r="G30" i="196"/>
  <c r="F30" i="196"/>
  <c r="Q93" i="195"/>
  <c r="O93" i="195"/>
  <c r="M93" i="195"/>
  <c r="K93" i="195"/>
  <c r="I93" i="195"/>
  <c r="G93" i="195"/>
  <c r="Q92" i="195"/>
  <c r="P92" i="195"/>
  <c r="O92" i="195"/>
  <c r="N92" i="195"/>
  <c r="M92" i="195"/>
  <c r="L92" i="195"/>
  <c r="K92" i="195"/>
  <c r="J92" i="195"/>
  <c r="I92" i="195"/>
  <c r="H92" i="195"/>
  <c r="G92" i="195"/>
  <c r="F92" i="195"/>
  <c r="Q91" i="195"/>
  <c r="P91" i="195"/>
  <c r="O91" i="195"/>
  <c r="N91" i="195"/>
  <c r="M91" i="195"/>
  <c r="L91" i="195"/>
  <c r="K91" i="195"/>
  <c r="J91" i="195"/>
  <c r="I91" i="195"/>
  <c r="H91" i="195"/>
  <c r="G91" i="195"/>
  <c r="F91" i="195"/>
  <c r="Q90" i="195"/>
  <c r="P90" i="195"/>
  <c r="O90" i="195"/>
  <c r="N90" i="195"/>
  <c r="M90" i="195"/>
  <c r="L90" i="195"/>
  <c r="K90" i="195"/>
  <c r="J90" i="195"/>
  <c r="I90" i="195"/>
  <c r="H90" i="195"/>
  <c r="G90" i="195"/>
  <c r="F90" i="195"/>
  <c r="Q89" i="195"/>
  <c r="P89" i="195"/>
  <c r="O89" i="195"/>
  <c r="N89" i="195"/>
  <c r="M89" i="195"/>
  <c r="L89" i="195"/>
  <c r="K89" i="195"/>
  <c r="J89" i="195"/>
  <c r="I89" i="195"/>
  <c r="H89" i="195"/>
  <c r="G89" i="195"/>
  <c r="F89" i="195"/>
  <c r="Q88" i="195"/>
  <c r="P88" i="195"/>
  <c r="O88" i="195"/>
  <c r="N88" i="195"/>
  <c r="M88" i="195"/>
  <c r="L88" i="195"/>
  <c r="K88" i="195"/>
  <c r="J88" i="195"/>
  <c r="I88" i="195"/>
  <c r="H88" i="195"/>
  <c r="G88" i="195"/>
  <c r="F88" i="195"/>
  <c r="Q87" i="195"/>
  <c r="P87" i="195"/>
  <c r="O87" i="195"/>
  <c r="N87" i="195"/>
  <c r="M87" i="195"/>
  <c r="L87" i="195"/>
  <c r="K87" i="195"/>
  <c r="J87" i="195"/>
  <c r="I87" i="195"/>
  <c r="H87" i="195"/>
  <c r="G87" i="195"/>
  <c r="F87" i="195"/>
  <c r="Q86" i="195"/>
  <c r="P86" i="195"/>
  <c r="O86" i="195"/>
  <c r="N86" i="195"/>
  <c r="M86" i="195"/>
  <c r="L86" i="195"/>
  <c r="K86" i="195"/>
  <c r="J86" i="195"/>
  <c r="I86" i="195"/>
  <c r="H86" i="195"/>
  <c r="G86" i="195"/>
  <c r="F86" i="195"/>
  <c r="Q85" i="195"/>
  <c r="P85" i="195"/>
  <c r="O85" i="195"/>
  <c r="N85" i="195"/>
  <c r="M85" i="195"/>
  <c r="L85" i="195"/>
  <c r="K85" i="195"/>
  <c r="J85" i="195"/>
  <c r="I85" i="195"/>
  <c r="H85" i="195"/>
  <c r="G85" i="195"/>
  <c r="F85" i="195"/>
  <c r="Q84" i="195"/>
  <c r="P84" i="195"/>
  <c r="O84" i="195"/>
  <c r="N84" i="195"/>
  <c r="M84" i="195"/>
  <c r="L84" i="195"/>
  <c r="K84" i="195"/>
  <c r="J84" i="195"/>
  <c r="I84" i="195"/>
  <c r="H84" i="195"/>
  <c r="G84" i="195"/>
  <c r="F84" i="195"/>
  <c r="Q83" i="195"/>
  <c r="P83" i="195"/>
  <c r="O83" i="195"/>
  <c r="N83" i="195"/>
  <c r="M83" i="195"/>
  <c r="L83" i="195"/>
  <c r="K83" i="195"/>
  <c r="J83" i="195"/>
  <c r="I83" i="195"/>
  <c r="H83" i="195"/>
  <c r="G83" i="195"/>
  <c r="F83" i="195"/>
  <c r="Q82" i="195"/>
  <c r="P82" i="195"/>
  <c r="O82" i="195"/>
  <c r="N82" i="195"/>
  <c r="M82" i="195"/>
  <c r="L82" i="195"/>
  <c r="K82" i="195"/>
  <c r="J82" i="195"/>
  <c r="I82" i="195"/>
  <c r="H82" i="195"/>
  <c r="G82" i="195"/>
  <c r="F82" i="195"/>
  <c r="Q81" i="195"/>
  <c r="P81" i="195"/>
  <c r="O81" i="195"/>
  <c r="N81" i="195"/>
  <c r="M81" i="195"/>
  <c r="L81" i="195"/>
  <c r="K81" i="195"/>
  <c r="J81" i="195"/>
  <c r="I81" i="195"/>
  <c r="H81" i="195"/>
  <c r="G81" i="195"/>
  <c r="F81" i="195"/>
  <c r="Q80" i="195"/>
  <c r="P80" i="195"/>
  <c r="O80" i="195"/>
  <c r="N80" i="195"/>
  <c r="M80" i="195"/>
  <c r="L80" i="195"/>
  <c r="K80" i="195"/>
  <c r="J80" i="195"/>
  <c r="I80" i="195"/>
  <c r="H80" i="195"/>
  <c r="G80" i="195"/>
  <c r="F80" i="195"/>
  <c r="Q79" i="195"/>
  <c r="P79" i="195"/>
  <c r="O79" i="195"/>
  <c r="N79" i="195"/>
  <c r="M79" i="195"/>
  <c r="L79" i="195"/>
  <c r="K79" i="195"/>
  <c r="J79" i="195"/>
  <c r="I79" i="195"/>
  <c r="H79" i="195"/>
  <c r="G79" i="195"/>
  <c r="F79" i="195"/>
  <c r="Q78" i="195"/>
  <c r="P78" i="195"/>
  <c r="O78" i="195"/>
  <c r="N78" i="195"/>
  <c r="M78" i="195"/>
  <c r="L78" i="195"/>
  <c r="K78" i="195"/>
  <c r="J78" i="195"/>
  <c r="I78" i="195"/>
  <c r="H78" i="195"/>
  <c r="G78" i="195"/>
  <c r="F78" i="195"/>
  <c r="Q77" i="195"/>
  <c r="P77" i="195"/>
  <c r="O77" i="195"/>
  <c r="N77" i="195"/>
  <c r="M77" i="195"/>
  <c r="L77" i="195"/>
  <c r="K77" i="195"/>
  <c r="J77" i="195"/>
  <c r="I77" i="195"/>
  <c r="H77" i="195"/>
  <c r="G77" i="195"/>
  <c r="F77" i="195"/>
  <c r="Q76" i="195"/>
  <c r="P76" i="195"/>
  <c r="O76" i="195"/>
  <c r="N76" i="195"/>
  <c r="M76" i="195"/>
  <c r="L76" i="195"/>
  <c r="K76" i="195"/>
  <c r="J76" i="195"/>
  <c r="I76" i="195"/>
  <c r="H76" i="195"/>
  <c r="G76" i="195"/>
  <c r="F76" i="195"/>
  <c r="Q75" i="195"/>
  <c r="P75" i="195"/>
  <c r="O75" i="195"/>
  <c r="N75" i="195"/>
  <c r="M75" i="195"/>
  <c r="L75" i="195"/>
  <c r="K75" i="195"/>
  <c r="J75" i="195"/>
  <c r="I75" i="195"/>
  <c r="H75" i="195"/>
  <c r="G75" i="195"/>
  <c r="F75" i="195"/>
  <c r="Q74" i="195"/>
  <c r="P74" i="195"/>
  <c r="O74" i="195"/>
  <c r="N74" i="195"/>
  <c r="M74" i="195"/>
  <c r="L74" i="195"/>
  <c r="K74" i="195"/>
  <c r="J74" i="195"/>
  <c r="I74" i="195"/>
  <c r="H74" i="195"/>
  <c r="G74" i="195"/>
  <c r="F74" i="195"/>
  <c r="Q73" i="195"/>
  <c r="P73" i="195"/>
  <c r="O73" i="195"/>
  <c r="N73" i="195"/>
  <c r="M73" i="195"/>
  <c r="L73" i="195"/>
  <c r="K73" i="195"/>
  <c r="J73" i="195"/>
  <c r="I73" i="195"/>
  <c r="H73" i="195"/>
  <c r="G73" i="195"/>
  <c r="F73" i="195"/>
  <c r="Q72" i="195"/>
  <c r="P72" i="195"/>
  <c r="O72" i="195"/>
  <c r="N72" i="195"/>
  <c r="M72" i="195"/>
  <c r="L72" i="195"/>
  <c r="K72" i="195"/>
  <c r="J72" i="195"/>
  <c r="I72" i="195"/>
  <c r="H72" i="195"/>
  <c r="G72" i="195"/>
  <c r="F72" i="195"/>
  <c r="Q71" i="195"/>
  <c r="P71" i="195"/>
  <c r="O71" i="195"/>
  <c r="N71" i="195"/>
  <c r="M71" i="195"/>
  <c r="L71" i="195"/>
  <c r="K71" i="195"/>
  <c r="J71" i="195"/>
  <c r="I71" i="195"/>
  <c r="H71" i="195"/>
  <c r="G71" i="195"/>
  <c r="F71" i="195"/>
  <c r="Q70" i="195"/>
  <c r="P70" i="195"/>
  <c r="O70" i="195"/>
  <c r="N70" i="195"/>
  <c r="M70" i="195"/>
  <c r="L70" i="195"/>
  <c r="K70" i="195"/>
  <c r="J70" i="195"/>
  <c r="I70" i="195"/>
  <c r="H70" i="195"/>
  <c r="G70" i="195"/>
  <c r="F70" i="195"/>
  <c r="Q69" i="195"/>
  <c r="P69" i="195"/>
  <c r="O69" i="195"/>
  <c r="N69" i="195"/>
  <c r="M69" i="195"/>
  <c r="L69" i="195"/>
  <c r="K69" i="195"/>
  <c r="J69" i="195"/>
  <c r="I69" i="195"/>
  <c r="H69" i="195"/>
  <c r="G69" i="195"/>
  <c r="F69" i="195"/>
  <c r="Q68" i="195"/>
  <c r="P68" i="195"/>
  <c r="O68" i="195"/>
  <c r="N68" i="195"/>
  <c r="M68" i="195"/>
  <c r="L68" i="195"/>
  <c r="K68" i="195"/>
  <c r="J68" i="195"/>
  <c r="I68" i="195"/>
  <c r="H68" i="195"/>
  <c r="G68" i="195"/>
  <c r="F68" i="195"/>
  <c r="Q67" i="195"/>
  <c r="P67" i="195"/>
  <c r="O67" i="195"/>
  <c r="N67" i="195"/>
  <c r="M67" i="195"/>
  <c r="L67" i="195"/>
  <c r="K67" i="195"/>
  <c r="J67" i="195"/>
  <c r="I67" i="195"/>
  <c r="H67" i="195"/>
  <c r="G67" i="195"/>
  <c r="F67" i="195"/>
  <c r="Q66" i="195"/>
  <c r="P66" i="195"/>
  <c r="O66" i="195"/>
  <c r="N66" i="195"/>
  <c r="M66" i="195"/>
  <c r="L66" i="195"/>
  <c r="K66" i="195"/>
  <c r="J66" i="195"/>
  <c r="I66" i="195"/>
  <c r="H66" i="195"/>
  <c r="G66" i="195"/>
  <c r="F66" i="195"/>
  <c r="Q65" i="195"/>
  <c r="P65" i="195"/>
  <c r="O65" i="195"/>
  <c r="N65" i="195"/>
  <c r="M65" i="195"/>
  <c r="L65" i="195"/>
  <c r="K65" i="195"/>
  <c r="J65" i="195"/>
  <c r="I65" i="195"/>
  <c r="H65" i="195"/>
  <c r="G65" i="195"/>
  <c r="F65" i="195"/>
  <c r="Q64" i="195"/>
  <c r="P64" i="195"/>
  <c r="O64" i="195"/>
  <c r="N64" i="195"/>
  <c r="M64" i="195"/>
  <c r="L64" i="195"/>
  <c r="K64" i="195"/>
  <c r="J64" i="195"/>
  <c r="I64" i="195"/>
  <c r="H64" i="195"/>
  <c r="G64" i="195"/>
  <c r="F64" i="195"/>
  <c r="Q63" i="195"/>
  <c r="P63" i="195"/>
  <c r="O63" i="195"/>
  <c r="N63" i="195"/>
  <c r="M63" i="195"/>
  <c r="L63" i="195"/>
  <c r="K63" i="195"/>
  <c r="J63" i="195"/>
  <c r="I63" i="195"/>
  <c r="H63" i="195"/>
  <c r="G63" i="195"/>
  <c r="F63" i="195"/>
  <c r="Q62" i="195"/>
  <c r="P62" i="195"/>
  <c r="O62" i="195"/>
  <c r="N62" i="195"/>
  <c r="M62" i="195"/>
  <c r="L62" i="195"/>
  <c r="K62" i="195"/>
  <c r="J62" i="195"/>
  <c r="I62" i="195"/>
  <c r="H62" i="195"/>
  <c r="G62" i="195"/>
  <c r="F62" i="195"/>
  <c r="Q61" i="195"/>
  <c r="P61" i="195"/>
  <c r="O61" i="195"/>
  <c r="N61" i="195"/>
  <c r="M61" i="195"/>
  <c r="L61" i="195"/>
  <c r="K61" i="195"/>
  <c r="J61" i="195"/>
  <c r="I61" i="195"/>
  <c r="H61" i="195"/>
  <c r="G61" i="195"/>
  <c r="F61" i="195"/>
  <c r="Q60" i="195"/>
  <c r="P60" i="195"/>
  <c r="O60" i="195"/>
  <c r="N60" i="195"/>
  <c r="M60" i="195"/>
  <c r="L60" i="195"/>
  <c r="K60" i="195"/>
  <c r="J60" i="195"/>
  <c r="I60" i="195"/>
  <c r="H60" i="195"/>
  <c r="G60" i="195"/>
  <c r="F60" i="195"/>
  <c r="Q59" i="195"/>
  <c r="P59" i="195"/>
  <c r="O59" i="195"/>
  <c r="N59" i="195"/>
  <c r="M59" i="195"/>
  <c r="L59" i="195"/>
  <c r="K59" i="195"/>
  <c r="J59" i="195"/>
  <c r="I59" i="195"/>
  <c r="H59" i="195"/>
  <c r="G59" i="195"/>
  <c r="F59" i="195"/>
  <c r="Q58" i="195"/>
  <c r="P58" i="195"/>
  <c r="O58" i="195"/>
  <c r="N58" i="195"/>
  <c r="M58" i="195"/>
  <c r="L58" i="195"/>
  <c r="K58" i="195"/>
  <c r="J58" i="195"/>
  <c r="I58" i="195"/>
  <c r="H58" i="195"/>
  <c r="G58" i="195"/>
  <c r="F58" i="195"/>
  <c r="Q57" i="195"/>
  <c r="P57" i="195"/>
  <c r="O57" i="195"/>
  <c r="N57" i="195"/>
  <c r="M57" i="195"/>
  <c r="L57" i="195"/>
  <c r="K57" i="195"/>
  <c r="J57" i="195"/>
  <c r="I57" i="195"/>
  <c r="H57" i="195"/>
  <c r="G57" i="195"/>
  <c r="F57" i="195"/>
  <c r="Q56" i="195"/>
  <c r="P56" i="195"/>
  <c r="O56" i="195"/>
  <c r="N56" i="195"/>
  <c r="M56" i="195"/>
  <c r="L56" i="195"/>
  <c r="K56" i="195"/>
  <c r="J56" i="195"/>
  <c r="I56" i="195"/>
  <c r="H56" i="195"/>
  <c r="G56" i="195"/>
  <c r="F56" i="195"/>
  <c r="Q55" i="195"/>
  <c r="P55" i="195"/>
  <c r="O55" i="195"/>
  <c r="N55" i="195"/>
  <c r="M55" i="195"/>
  <c r="L55" i="195"/>
  <c r="K55" i="195"/>
  <c r="J55" i="195"/>
  <c r="I55" i="195"/>
  <c r="H55" i="195"/>
  <c r="G55" i="195"/>
  <c r="F55" i="195"/>
  <c r="Q54" i="195"/>
  <c r="P54" i="195"/>
  <c r="O54" i="195"/>
  <c r="N54" i="195"/>
  <c r="M54" i="195"/>
  <c r="L54" i="195"/>
  <c r="K54" i="195"/>
  <c r="J54" i="195"/>
  <c r="I54" i="195"/>
  <c r="H54" i="195"/>
  <c r="G54" i="195"/>
  <c r="F54" i="195"/>
  <c r="Q53" i="195"/>
  <c r="P53" i="195"/>
  <c r="O53" i="195"/>
  <c r="N53" i="195"/>
  <c r="M53" i="195"/>
  <c r="L53" i="195"/>
  <c r="K53" i="195"/>
  <c r="J53" i="195"/>
  <c r="I53" i="195"/>
  <c r="H53" i="195"/>
  <c r="G53" i="195"/>
  <c r="F53" i="195"/>
  <c r="Q52" i="195"/>
  <c r="P52" i="195"/>
  <c r="O52" i="195"/>
  <c r="N52" i="195"/>
  <c r="M52" i="195"/>
  <c r="L52" i="195"/>
  <c r="K52" i="195"/>
  <c r="J52" i="195"/>
  <c r="I52" i="195"/>
  <c r="H52" i="195"/>
  <c r="G52" i="195"/>
  <c r="F52" i="195"/>
  <c r="Q51" i="195"/>
  <c r="P51" i="195"/>
  <c r="O51" i="195"/>
  <c r="N51" i="195"/>
  <c r="M51" i="195"/>
  <c r="L51" i="195"/>
  <c r="K51" i="195"/>
  <c r="J51" i="195"/>
  <c r="I51" i="195"/>
  <c r="H51" i="195"/>
  <c r="G51" i="195"/>
  <c r="F51" i="195"/>
  <c r="Q50" i="195"/>
  <c r="P50" i="195"/>
  <c r="O50" i="195"/>
  <c r="N50" i="195"/>
  <c r="M50" i="195"/>
  <c r="L50" i="195"/>
  <c r="K50" i="195"/>
  <c r="J50" i="195"/>
  <c r="I50" i="195"/>
  <c r="H50" i="195"/>
  <c r="G50" i="195"/>
  <c r="F50" i="195"/>
  <c r="Q49" i="195"/>
  <c r="P49" i="195"/>
  <c r="O49" i="195"/>
  <c r="N49" i="195"/>
  <c r="M49" i="195"/>
  <c r="L49" i="195"/>
  <c r="K49" i="195"/>
  <c r="J49" i="195"/>
  <c r="I49" i="195"/>
  <c r="H49" i="195"/>
  <c r="G49" i="195"/>
  <c r="F49" i="195"/>
  <c r="Q48" i="195"/>
  <c r="P48" i="195"/>
  <c r="O48" i="195"/>
  <c r="N48" i="195"/>
  <c r="M48" i="195"/>
  <c r="L48" i="195"/>
  <c r="K48" i="195"/>
  <c r="J48" i="195"/>
  <c r="I48" i="195"/>
  <c r="H48" i="195"/>
  <c r="G48" i="195"/>
  <c r="F48" i="195"/>
  <c r="Q47" i="195"/>
  <c r="P47" i="195"/>
  <c r="O47" i="195"/>
  <c r="N47" i="195"/>
  <c r="M47" i="195"/>
  <c r="L47" i="195"/>
  <c r="K47" i="195"/>
  <c r="J47" i="195"/>
  <c r="I47" i="195"/>
  <c r="H47" i="195"/>
  <c r="G47" i="195"/>
  <c r="F47" i="195"/>
  <c r="Q46" i="195"/>
  <c r="P46" i="195"/>
  <c r="O46" i="195"/>
  <c r="N46" i="195"/>
  <c r="M46" i="195"/>
  <c r="L46" i="195"/>
  <c r="K46" i="195"/>
  <c r="J46" i="195"/>
  <c r="I46" i="195"/>
  <c r="H46" i="195"/>
  <c r="G46" i="195"/>
  <c r="F46" i="195"/>
  <c r="Q45" i="195"/>
  <c r="P45" i="195"/>
  <c r="O45" i="195"/>
  <c r="N45" i="195"/>
  <c r="M45" i="195"/>
  <c r="L45" i="195"/>
  <c r="K45" i="195"/>
  <c r="J45" i="195"/>
  <c r="I45" i="195"/>
  <c r="H45" i="195"/>
  <c r="G45" i="195"/>
  <c r="F45" i="195"/>
  <c r="Q44" i="195"/>
  <c r="P44" i="195"/>
  <c r="O44" i="195"/>
  <c r="N44" i="195"/>
  <c r="M44" i="195"/>
  <c r="L44" i="195"/>
  <c r="K44" i="195"/>
  <c r="J44" i="195"/>
  <c r="I44" i="195"/>
  <c r="H44" i="195"/>
  <c r="G44" i="195"/>
  <c r="F44" i="195"/>
  <c r="Q43" i="195"/>
  <c r="P43" i="195"/>
  <c r="O43" i="195"/>
  <c r="N43" i="195"/>
  <c r="M43" i="195"/>
  <c r="L43" i="195"/>
  <c r="K43" i="195"/>
  <c r="J43" i="195"/>
  <c r="I43" i="195"/>
  <c r="H43" i="195"/>
  <c r="G43" i="195"/>
  <c r="F43" i="195"/>
  <c r="Q42" i="195"/>
  <c r="P42" i="195"/>
  <c r="O42" i="195"/>
  <c r="N42" i="195"/>
  <c r="M42" i="195"/>
  <c r="L42" i="195"/>
  <c r="K42" i="195"/>
  <c r="J42" i="195"/>
  <c r="I42" i="195"/>
  <c r="H42" i="195"/>
  <c r="G42" i="195"/>
  <c r="F42" i="195"/>
  <c r="Q41" i="195"/>
  <c r="P41" i="195"/>
  <c r="O41" i="195"/>
  <c r="N41" i="195"/>
  <c r="M41" i="195"/>
  <c r="L41" i="195"/>
  <c r="K41" i="195"/>
  <c r="J41" i="195"/>
  <c r="I41" i="195"/>
  <c r="H41" i="195"/>
  <c r="G41" i="195"/>
  <c r="F41" i="195"/>
  <c r="Q40" i="195"/>
  <c r="P40" i="195"/>
  <c r="O40" i="195"/>
  <c r="N40" i="195"/>
  <c r="M40" i="195"/>
  <c r="L40" i="195"/>
  <c r="K40" i="195"/>
  <c r="J40" i="195"/>
  <c r="I40" i="195"/>
  <c r="H40" i="195"/>
  <c r="G40" i="195"/>
  <c r="F40" i="195"/>
  <c r="Q39" i="195"/>
  <c r="P39" i="195"/>
  <c r="O39" i="195"/>
  <c r="N39" i="195"/>
  <c r="M39" i="195"/>
  <c r="L39" i="195"/>
  <c r="K39" i="195"/>
  <c r="J39" i="195"/>
  <c r="I39" i="195"/>
  <c r="H39" i="195"/>
  <c r="G39" i="195"/>
  <c r="F39" i="195"/>
  <c r="Q38" i="195"/>
  <c r="P38" i="195"/>
  <c r="O38" i="195"/>
  <c r="N38" i="195"/>
  <c r="M38" i="195"/>
  <c r="L38" i="195"/>
  <c r="K38" i="195"/>
  <c r="J38" i="195"/>
  <c r="I38" i="195"/>
  <c r="H38" i="195"/>
  <c r="G38" i="195"/>
  <c r="F38" i="195"/>
  <c r="Q37" i="195"/>
  <c r="P37" i="195"/>
  <c r="O37" i="195"/>
  <c r="N37" i="195"/>
  <c r="M37" i="195"/>
  <c r="L37" i="195"/>
  <c r="K37" i="195"/>
  <c r="J37" i="195"/>
  <c r="I37" i="195"/>
  <c r="H37" i="195"/>
  <c r="G37" i="195"/>
  <c r="F37" i="195"/>
  <c r="Q36" i="195"/>
  <c r="P36" i="195"/>
  <c r="O36" i="195"/>
  <c r="N36" i="195"/>
  <c r="M36" i="195"/>
  <c r="L36" i="195"/>
  <c r="K36" i="195"/>
  <c r="J36" i="195"/>
  <c r="I36" i="195"/>
  <c r="H36" i="195"/>
  <c r="G36" i="195"/>
  <c r="F36" i="195"/>
  <c r="Q33" i="195"/>
  <c r="P33" i="195"/>
  <c r="O33" i="195"/>
  <c r="N33" i="195"/>
  <c r="M33" i="195"/>
  <c r="L33" i="195"/>
  <c r="K33" i="195"/>
  <c r="J33" i="195"/>
  <c r="I33" i="195"/>
  <c r="H33" i="195"/>
  <c r="G33" i="195"/>
  <c r="F33" i="195"/>
  <c r="L39" i="194"/>
  <c r="J33" i="194"/>
  <c r="K32" i="194"/>
  <c r="J32" i="194"/>
  <c r="I32" i="194"/>
  <c r="J30" i="194"/>
  <c r="I30" i="194"/>
  <c r="L39" i="193"/>
  <c r="Q28" i="193"/>
  <c r="O28" i="193"/>
  <c r="M28" i="193"/>
  <c r="K28" i="193"/>
  <c r="I28" i="193"/>
  <c r="G28" i="193"/>
  <c r="Q27" i="193"/>
  <c r="P27" i="193"/>
  <c r="O27" i="193"/>
  <c r="N27" i="193"/>
  <c r="M27" i="193"/>
  <c r="L27" i="193"/>
  <c r="K27" i="193"/>
  <c r="J27" i="193"/>
  <c r="I27" i="193"/>
  <c r="H27" i="193"/>
  <c r="G27" i="193"/>
  <c r="F27" i="193"/>
  <c r="Q26" i="193"/>
  <c r="P26" i="193"/>
  <c r="O26" i="193"/>
  <c r="N26" i="193"/>
  <c r="M26" i="193"/>
  <c r="L26" i="193"/>
  <c r="K26" i="193"/>
  <c r="J26" i="193"/>
  <c r="I26" i="193"/>
  <c r="H26" i="193"/>
  <c r="G26" i="193"/>
  <c r="F26" i="193"/>
  <c r="Q25" i="193"/>
  <c r="P25" i="193"/>
  <c r="O25" i="193"/>
  <c r="N25" i="193"/>
  <c r="M25" i="193"/>
  <c r="L25" i="193"/>
  <c r="K25" i="193"/>
  <c r="J25" i="193"/>
  <c r="I25" i="193"/>
  <c r="H25" i="193"/>
  <c r="G25" i="193"/>
  <c r="F25" i="193"/>
  <c r="Q24" i="193"/>
  <c r="P24" i="193"/>
  <c r="O24" i="193"/>
  <c r="N24" i="193"/>
  <c r="M24" i="193"/>
  <c r="L24" i="193"/>
  <c r="K24" i="193"/>
  <c r="J24" i="193"/>
  <c r="I24" i="193"/>
  <c r="H24" i="193"/>
  <c r="G24" i="193"/>
  <c r="F24" i="193"/>
  <c r="Q23" i="193"/>
  <c r="P23" i="193"/>
  <c r="O23" i="193"/>
  <c r="N23" i="193"/>
  <c r="M23" i="193"/>
  <c r="L23" i="193"/>
  <c r="K23" i="193"/>
  <c r="J23" i="193"/>
  <c r="I23" i="193"/>
  <c r="H23" i="193"/>
  <c r="G23" i="193"/>
  <c r="F23" i="193"/>
  <c r="Q22" i="193"/>
  <c r="P22" i="193"/>
  <c r="O22" i="193"/>
  <c r="N22" i="193"/>
  <c r="M22" i="193"/>
  <c r="L22" i="193"/>
  <c r="K22" i="193"/>
  <c r="J22" i="193"/>
  <c r="I22" i="193"/>
  <c r="H22" i="193"/>
  <c r="G22" i="193"/>
  <c r="F22" i="193"/>
  <c r="Q21" i="193"/>
  <c r="P21" i="193"/>
  <c r="O21" i="193"/>
  <c r="N21" i="193"/>
  <c r="M21" i="193"/>
  <c r="L21" i="193"/>
  <c r="K21" i="193"/>
  <c r="J21" i="193"/>
  <c r="I21" i="193"/>
  <c r="H21" i="193"/>
  <c r="G21" i="193"/>
  <c r="F21" i="193"/>
  <c r="Q19" i="193"/>
  <c r="P19" i="193"/>
  <c r="O19" i="193"/>
  <c r="N19" i="193"/>
  <c r="M19" i="193"/>
  <c r="L19" i="193"/>
  <c r="K19" i="193"/>
  <c r="J19" i="193"/>
  <c r="I19" i="193"/>
  <c r="H19" i="193"/>
  <c r="G19" i="193"/>
  <c r="F19" i="193"/>
  <c r="L39" i="192"/>
  <c r="Q33" i="192"/>
  <c r="O33" i="192"/>
  <c r="M33" i="192"/>
  <c r="K33" i="192"/>
  <c r="I33" i="192"/>
  <c r="G33" i="192"/>
  <c r="Q32" i="192"/>
  <c r="P32" i="192"/>
  <c r="O32" i="192"/>
  <c r="N32" i="192"/>
  <c r="M32" i="192"/>
  <c r="L32" i="192"/>
  <c r="K32" i="192"/>
  <c r="J32" i="192"/>
  <c r="I32" i="192"/>
  <c r="H32" i="192"/>
  <c r="G32" i="192"/>
  <c r="F32" i="192"/>
  <c r="Q31" i="192"/>
  <c r="P31" i="192"/>
  <c r="O31" i="192"/>
  <c r="N31" i="192"/>
  <c r="M31" i="192"/>
  <c r="L31" i="192"/>
  <c r="K31" i="192"/>
  <c r="J31" i="192"/>
  <c r="I31" i="192"/>
  <c r="H31" i="192"/>
  <c r="G31" i="192"/>
  <c r="F31" i="192"/>
  <c r="Q30" i="192"/>
  <c r="P30" i="192"/>
  <c r="O30" i="192"/>
  <c r="N30" i="192"/>
  <c r="M30" i="192"/>
  <c r="L30" i="192"/>
  <c r="K30" i="192"/>
  <c r="J30" i="192"/>
  <c r="I30" i="192"/>
  <c r="H30" i="192"/>
  <c r="G30" i="192"/>
  <c r="F30" i="192"/>
  <c r="Q29" i="192"/>
  <c r="P29" i="192"/>
  <c r="O29" i="192"/>
  <c r="N29" i="192"/>
  <c r="M29" i="192"/>
  <c r="L29" i="192"/>
  <c r="K29" i="192"/>
  <c r="J29" i="192"/>
  <c r="I29" i="192"/>
  <c r="H29" i="192"/>
  <c r="G29" i="192"/>
  <c r="F29" i="192"/>
  <c r="Q28" i="192"/>
  <c r="P28" i="192"/>
  <c r="O28" i="192"/>
  <c r="N28" i="192"/>
  <c r="M28" i="192"/>
  <c r="L28" i="192"/>
  <c r="K28" i="192"/>
  <c r="J28" i="192"/>
  <c r="I28" i="192"/>
  <c r="H28" i="192"/>
  <c r="G28" i="192"/>
  <c r="F28" i="192"/>
  <c r="Q27" i="192"/>
  <c r="P27" i="192"/>
  <c r="O27" i="192"/>
  <c r="N27" i="192"/>
  <c r="M27" i="192"/>
  <c r="L27" i="192"/>
  <c r="K27" i="192"/>
  <c r="J27" i="192"/>
  <c r="I27" i="192"/>
  <c r="H27" i="192"/>
  <c r="G27" i="192"/>
  <c r="F27" i="192"/>
  <c r="Q26" i="192"/>
  <c r="P26" i="192"/>
  <c r="O26" i="192"/>
  <c r="N26" i="192"/>
  <c r="M26" i="192"/>
  <c r="L26" i="192"/>
  <c r="K26" i="192"/>
  <c r="J26" i="192"/>
  <c r="I26" i="192"/>
  <c r="H26" i="192"/>
  <c r="G26" i="192"/>
  <c r="F26" i="192"/>
  <c r="Q25" i="192"/>
  <c r="P25" i="192"/>
  <c r="O25" i="192"/>
  <c r="N25" i="192"/>
  <c r="M25" i="192"/>
  <c r="L25" i="192"/>
  <c r="K25" i="192"/>
  <c r="J25" i="192"/>
  <c r="I25" i="192"/>
  <c r="H25" i="192"/>
  <c r="G25" i="192"/>
  <c r="F25" i="192"/>
  <c r="Q24" i="192"/>
  <c r="P24" i="192"/>
  <c r="O24" i="192"/>
  <c r="N24" i="192"/>
  <c r="M24" i="192"/>
  <c r="L24" i="192"/>
  <c r="K24" i="192"/>
  <c r="J24" i="192"/>
  <c r="I24" i="192"/>
  <c r="H24" i="192"/>
  <c r="G24" i="192"/>
  <c r="F24" i="192"/>
  <c r="Q23" i="192"/>
  <c r="P23" i="192"/>
  <c r="O23" i="192"/>
  <c r="N23" i="192"/>
  <c r="M23" i="192"/>
  <c r="L23" i="192"/>
  <c r="K23" i="192"/>
  <c r="J23" i="192"/>
  <c r="I23" i="192"/>
  <c r="H23" i="192"/>
  <c r="G23" i="192"/>
  <c r="F23" i="192"/>
  <c r="Q22" i="192"/>
  <c r="P22" i="192"/>
  <c r="O22" i="192"/>
  <c r="N22" i="192"/>
  <c r="M22" i="192"/>
  <c r="L22" i="192"/>
  <c r="K22" i="192"/>
  <c r="J22" i="192"/>
  <c r="I22" i="192"/>
  <c r="H22" i="192"/>
  <c r="G22" i="192"/>
  <c r="F22" i="192"/>
  <c r="Q21" i="192"/>
  <c r="P21" i="192"/>
  <c r="O21" i="192"/>
  <c r="N21" i="192"/>
  <c r="M21" i="192"/>
  <c r="L21" i="192"/>
  <c r="K21" i="192"/>
  <c r="J21" i="192"/>
  <c r="I21" i="192"/>
  <c r="H21" i="192"/>
  <c r="G21" i="192"/>
  <c r="F21" i="192"/>
  <c r="Q20" i="192"/>
  <c r="P20" i="192"/>
  <c r="O20" i="192"/>
  <c r="N20" i="192"/>
  <c r="M20" i="192"/>
  <c r="L20" i="192"/>
  <c r="K20" i="192"/>
  <c r="J20" i="192"/>
  <c r="I20" i="192"/>
  <c r="H20" i="192"/>
  <c r="G20" i="192"/>
  <c r="F20" i="192"/>
  <c r="Q17" i="192"/>
  <c r="P17" i="192"/>
  <c r="O17" i="192"/>
  <c r="N17" i="192"/>
  <c r="M17" i="192"/>
  <c r="L17" i="192"/>
  <c r="K17" i="192"/>
  <c r="J17" i="192"/>
  <c r="I17" i="192"/>
  <c r="H17" i="192"/>
  <c r="G17" i="192"/>
  <c r="F17" i="192"/>
  <c r="L39" i="191"/>
  <c r="Q22" i="191"/>
  <c r="O22" i="191"/>
  <c r="M22" i="191"/>
  <c r="K22" i="191"/>
  <c r="I22" i="191"/>
  <c r="G22" i="191"/>
  <c r="Q21" i="191"/>
  <c r="P21" i="191"/>
  <c r="O21" i="191"/>
  <c r="N21" i="191"/>
  <c r="M21" i="191"/>
  <c r="L21" i="191"/>
  <c r="K21" i="191"/>
  <c r="J21" i="191"/>
  <c r="I21" i="191"/>
  <c r="H21" i="191"/>
  <c r="G21" i="191"/>
  <c r="F21" i="191"/>
  <c r="Q20" i="191"/>
  <c r="P20" i="191"/>
  <c r="O20" i="191"/>
  <c r="N20" i="191"/>
  <c r="M20" i="191"/>
  <c r="L20" i="191"/>
  <c r="K20" i="191"/>
  <c r="J20" i="191"/>
  <c r="I20" i="191"/>
  <c r="H20" i="191"/>
  <c r="G20" i="191"/>
  <c r="F20" i="191"/>
  <c r="Q17" i="191"/>
  <c r="P17" i="191"/>
  <c r="O17" i="191"/>
  <c r="N17" i="191"/>
  <c r="M17" i="191"/>
  <c r="L17" i="191"/>
  <c r="K17" i="191"/>
  <c r="J17" i="191"/>
  <c r="I17" i="191"/>
  <c r="H17" i="191"/>
  <c r="G17" i="191"/>
  <c r="F17" i="191"/>
  <c r="Q20" i="190"/>
  <c r="O20" i="190"/>
  <c r="M20" i="190"/>
  <c r="K20" i="190"/>
  <c r="I20" i="190"/>
  <c r="G20" i="190"/>
  <c r="Q17" i="190"/>
  <c r="P17" i="190"/>
  <c r="O17" i="190"/>
  <c r="N17" i="190"/>
  <c r="M17" i="190"/>
  <c r="L17" i="190"/>
  <c r="K17" i="190"/>
  <c r="J17" i="190"/>
  <c r="I17" i="190"/>
  <c r="H17" i="190"/>
  <c r="G17" i="190"/>
  <c r="F17" i="190"/>
  <c r="L39" i="189"/>
  <c r="Q37" i="189"/>
  <c r="O37" i="189"/>
  <c r="M37" i="189"/>
  <c r="K37" i="189"/>
  <c r="I37" i="189"/>
  <c r="G37" i="189"/>
  <c r="Q36" i="189"/>
  <c r="P36" i="189"/>
  <c r="O36" i="189"/>
  <c r="N36" i="189"/>
  <c r="M36" i="189"/>
  <c r="L36" i="189"/>
  <c r="K36" i="189"/>
  <c r="J36" i="189"/>
  <c r="I36" i="189"/>
  <c r="H36" i="189"/>
  <c r="G36" i="189"/>
  <c r="F36" i="189"/>
  <c r="Q35" i="189"/>
  <c r="P35" i="189"/>
  <c r="O35" i="189"/>
  <c r="N35" i="189"/>
  <c r="M35" i="189"/>
  <c r="L35" i="189"/>
  <c r="K35" i="189"/>
  <c r="J35" i="189"/>
  <c r="I35" i="189"/>
  <c r="H35" i="189"/>
  <c r="G35" i="189"/>
  <c r="F35" i="189"/>
  <c r="Q34" i="189"/>
  <c r="P34" i="189"/>
  <c r="O34" i="189"/>
  <c r="N34" i="189"/>
  <c r="M34" i="189"/>
  <c r="L34" i="189"/>
  <c r="K34" i="189"/>
  <c r="J34" i="189"/>
  <c r="I34" i="189"/>
  <c r="H34" i="189"/>
  <c r="G34" i="189"/>
  <c r="F34" i="189"/>
  <c r="Q33" i="189"/>
  <c r="P33" i="189"/>
  <c r="O33" i="189"/>
  <c r="N33" i="189"/>
  <c r="M33" i="189"/>
  <c r="L33" i="189"/>
  <c r="K33" i="189"/>
  <c r="J33" i="189"/>
  <c r="I33" i="189"/>
  <c r="H33" i="189"/>
  <c r="G33" i="189"/>
  <c r="F33" i="189"/>
  <c r="Q32" i="189"/>
  <c r="P32" i="189"/>
  <c r="O32" i="189"/>
  <c r="N32" i="189"/>
  <c r="M32" i="189"/>
  <c r="L32" i="189"/>
  <c r="K32" i="189"/>
  <c r="J32" i="189"/>
  <c r="I32" i="189"/>
  <c r="H32" i="189"/>
  <c r="G32" i="189"/>
  <c r="F32" i="189"/>
  <c r="Q31" i="189"/>
  <c r="P31" i="189"/>
  <c r="O31" i="189"/>
  <c r="N31" i="189"/>
  <c r="M31" i="189"/>
  <c r="L31" i="189"/>
  <c r="K31" i="189"/>
  <c r="J31" i="189"/>
  <c r="I31" i="189"/>
  <c r="H31" i="189"/>
  <c r="G31" i="189"/>
  <c r="F31" i="189"/>
  <c r="Q30" i="189"/>
  <c r="P30" i="189"/>
  <c r="O30" i="189"/>
  <c r="N30" i="189"/>
  <c r="M30" i="189"/>
  <c r="L30" i="189"/>
  <c r="K30" i="189"/>
  <c r="J30" i="189"/>
  <c r="I30" i="189"/>
  <c r="H30" i="189"/>
  <c r="G30" i="189"/>
  <c r="F30" i="189"/>
  <c r="Q29" i="189"/>
  <c r="P29" i="189"/>
  <c r="O29" i="189"/>
  <c r="N29" i="189"/>
  <c r="M29" i="189"/>
  <c r="L29" i="189"/>
  <c r="K29" i="189"/>
  <c r="J29" i="189"/>
  <c r="I29" i="189"/>
  <c r="H29" i="189"/>
  <c r="G29" i="189"/>
  <c r="F29" i="189"/>
  <c r="Q28" i="189"/>
  <c r="P28" i="189"/>
  <c r="O28" i="189"/>
  <c r="N28" i="189"/>
  <c r="M28" i="189"/>
  <c r="L28" i="189"/>
  <c r="K28" i="189"/>
  <c r="J28" i="189"/>
  <c r="I28" i="189"/>
  <c r="H28" i="189"/>
  <c r="G28" i="189"/>
  <c r="F28" i="189"/>
  <c r="Q27" i="189"/>
  <c r="P27" i="189"/>
  <c r="O27" i="189"/>
  <c r="N27" i="189"/>
  <c r="M27" i="189"/>
  <c r="L27" i="189"/>
  <c r="K27" i="189"/>
  <c r="J27" i="189"/>
  <c r="I27" i="189"/>
  <c r="H27" i="189"/>
  <c r="G27" i="189"/>
  <c r="F27" i="189"/>
  <c r="Q26" i="189"/>
  <c r="P26" i="189"/>
  <c r="O26" i="189"/>
  <c r="N26" i="189"/>
  <c r="M26" i="189"/>
  <c r="L26" i="189"/>
  <c r="K26" i="189"/>
  <c r="J26" i="189"/>
  <c r="I26" i="189"/>
  <c r="H26" i="189"/>
  <c r="G26" i="189"/>
  <c r="F26" i="189"/>
  <c r="Q25" i="189"/>
  <c r="P25" i="189"/>
  <c r="O25" i="189"/>
  <c r="N25" i="189"/>
  <c r="M25" i="189"/>
  <c r="L25" i="189"/>
  <c r="K25" i="189"/>
  <c r="J25" i="189"/>
  <c r="I25" i="189"/>
  <c r="H25" i="189"/>
  <c r="G25" i="189"/>
  <c r="F25" i="189"/>
  <c r="Q24" i="189"/>
  <c r="P24" i="189"/>
  <c r="O24" i="189"/>
  <c r="N24" i="189"/>
  <c r="M24" i="189"/>
  <c r="L24" i="189"/>
  <c r="K24" i="189"/>
  <c r="J24" i="189"/>
  <c r="I24" i="189"/>
  <c r="H24" i="189"/>
  <c r="G24" i="189"/>
  <c r="F24" i="189"/>
  <c r="Q23" i="189"/>
  <c r="P23" i="189"/>
  <c r="O23" i="189"/>
  <c r="N23" i="189"/>
  <c r="M23" i="189"/>
  <c r="L23" i="189"/>
  <c r="K23" i="189"/>
  <c r="J23" i="189"/>
  <c r="I23" i="189"/>
  <c r="H23" i="189"/>
  <c r="G23" i="189"/>
  <c r="F23" i="189"/>
  <c r="Q22" i="189"/>
  <c r="P22" i="189"/>
  <c r="O22" i="189"/>
  <c r="N22" i="189"/>
  <c r="M22" i="189"/>
  <c r="L22" i="189"/>
  <c r="K22" i="189"/>
  <c r="J22" i="189"/>
  <c r="I22" i="189"/>
  <c r="H22" i="189"/>
  <c r="G22" i="189"/>
  <c r="F22" i="189"/>
  <c r="Q21" i="189"/>
  <c r="P21" i="189"/>
  <c r="O21" i="189"/>
  <c r="N21" i="189"/>
  <c r="M21" i="189"/>
  <c r="L21" i="189"/>
  <c r="K21" i="189"/>
  <c r="J21" i="189"/>
  <c r="I21" i="189"/>
  <c r="H21" i="189"/>
  <c r="G21" i="189"/>
  <c r="F21" i="189"/>
  <c r="Q20" i="189"/>
  <c r="P20" i="189"/>
  <c r="O20" i="189"/>
  <c r="N20" i="189"/>
  <c r="M20" i="189"/>
  <c r="L20" i="189"/>
  <c r="K20" i="189"/>
  <c r="J20" i="189"/>
  <c r="I20" i="189"/>
  <c r="H20" i="189"/>
  <c r="G20" i="189"/>
  <c r="F20" i="189"/>
  <c r="Q17" i="189"/>
  <c r="P17" i="189"/>
  <c r="O17" i="189"/>
  <c r="N17" i="189"/>
  <c r="M17" i="189"/>
  <c r="L17" i="189"/>
  <c r="K17" i="189"/>
  <c r="J17" i="189"/>
  <c r="I17" i="189"/>
  <c r="H17" i="189"/>
  <c r="G17" i="189"/>
  <c r="F17" i="189"/>
  <c r="L39" i="188"/>
  <c r="Q33" i="188"/>
  <c r="O33" i="188"/>
  <c r="M33" i="188"/>
  <c r="K33" i="188"/>
  <c r="I33" i="188"/>
  <c r="G33" i="188"/>
  <c r="Q32" i="188"/>
  <c r="P32" i="188"/>
  <c r="O32" i="188"/>
  <c r="N32" i="188"/>
  <c r="M32" i="188"/>
  <c r="L32" i="188"/>
  <c r="K32" i="188"/>
  <c r="J32" i="188"/>
  <c r="I32" i="188"/>
  <c r="H32" i="188"/>
  <c r="G32" i="188"/>
  <c r="F32" i="188"/>
  <c r="Q31" i="188"/>
  <c r="P31" i="188"/>
  <c r="O31" i="188"/>
  <c r="N31" i="188"/>
  <c r="M31" i="188"/>
  <c r="L31" i="188"/>
  <c r="K31" i="188"/>
  <c r="J31" i="188"/>
  <c r="I31" i="188"/>
  <c r="H31" i="188"/>
  <c r="G31" i="188"/>
  <c r="F31" i="188"/>
  <c r="Q30" i="188"/>
  <c r="P30" i="188"/>
  <c r="O30" i="188"/>
  <c r="N30" i="188"/>
  <c r="M30" i="188"/>
  <c r="L30" i="188"/>
  <c r="K30" i="188"/>
  <c r="J30" i="188"/>
  <c r="I30" i="188"/>
  <c r="H30" i="188"/>
  <c r="G30" i="188"/>
  <c r="F30" i="188"/>
  <c r="Q29" i="188"/>
  <c r="P29" i="188"/>
  <c r="O29" i="188"/>
  <c r="N29" i="188"/>
  <c r="M29" i="188"/>
  <c r="L29" i="188"/>
  <c r="K29" i="188"/>
  <c r="J29" i="188"/>
  <c r="I29" i="188"/>
  <c r="H29" i="188"/>
  <c r="G29" i="188"/>
  <c r="F29" i="188"/>
  <c r="Q28" i="188"/>
  <c r="P28" i="188"/>
  <c r="O28" i="188"/>
  <c r="N28" i="188"/>
  <c r="M28" i="188"/>
  <c r="L28" i="188"/>
  <c r="K28" i="188"/>
  <c r="J28" i="188"/>
  <c r="I28" i="188"/>
  <c r="H28" i="188"/>
  <c r="G28" i="188"/>
  <c r="F28" i="188"/>
  <c r="Q27" i="188"/>
  <c r="P27" i="188"/>
  <c r="O27" i="188"/>
  <c r="N27" i="188"/>
  <c r="M27" i="188"/>
  <c r="L27" i="188"/>
  <c r="K27" i="188"/>
  <c r="J27" i="188"/>
  <c r="I27" i="188"/>
  <c r="H27" i="188"/>
  <c r="G27" i="188"/>
  <c r="F27" i="188"/>
  <c r="Q26" i="188"/>
  <c r="P26" i="188"/>
  <c r="O26" i="188"/>
  <c r="N26" i="188"/>
  <c r="M26" i="188"/>
  <c r="L26" i="188"/>
  <c r="K26" i="188"/>
  <c r="J26" i="188"/>
  <c r="I26" i="188"/>
  <c r="H26" i="188"/>
  <c r="G26" i="188"/>
  <c r="F26" i="188"/>
  <c r="Q25" i="188"/>
  <c r="P25" i="188"/>
  <c r="O25" i="188"/>
  <c r="N25" i="188"/>
  <c r="M25" i="188"/>
  <c r="L25" i="188"/>
  <c r="K25" i="188"/>
  <c r="J25" i="188"/>
  <c r="I25" i="188"/>
  <c r="H25" i="188"/>
  <c r="G25" i="188"/>
  <c r="F25" i="188"/>
  <c r="Q24" i="188"/>
  <c r="P24" i="188"/>
  <c r="O24" i="188"/>
  <c r="N24" i="188"/>
  <c r="M24" i="188"/>
  <c r="L24" i="188"/>
  <c r="K24" i="188"/>
  <c r="J24" i="188"/>
  <c r="I24" i="188"/>
  <c r="H24" i="188"/>
  <c r="G24" i="188"/>
  <c r="F24" i="188"/>
  <c r="Q23" i="188"/>
  <c r="P23" i="188"/>
  <c r="O23" i="188"/>
  <c r="N23" i="188"/>
  <c r="M23" i="188"/>
  <c r="L23" i="188"/>
  <c r="K23" i="188"/>
  <c r="J23" i="188"/>
  <c r="I23" i="188"/>
  <c r="H23" i="188"/>
  <c r="G23" i="188"/>
  <c r="F23" i="188"/>
  <c r="Q22" i="188"/>
  <c r="P22" i="188"/>
  <c r="O22" i="188"/>
  <c r="N22" i="188"/>
  <c r="M22" i="188"/>
  <c r="L22" i="188"/>
  <c r="K22" i="188"/>
  <c r="J22" i="188"/>
  <c r="I22" i="188"/>
  <c r="H22" i="188"/>
  <c r="G22" i="188"/>
  <c r="F22" i="188"/>
  <c r="Q21" i="188"/>
  <c r="P21" i="188"/>
  <c r="O21" i="188"/>
  <c r="N21" i="188"/>
  <c r="M21" i="188"/>
  <c r="L21" i="188"/>
  <c r="K21" i="188"/>
  <c r="J21" i="188"/>
  <c r="I21" i="188"/>
  <c r="H21" i="188"/>
  <c r="G21" i="188"/>
  <c r="F21" i="188"/>
  <c r="Q20" i="188"/>
  <c r="P20" i="188"/>
  <c r="O20" i="188"/>
  <c r="N20" i="188"/>
  <c r="M20" i="188"/>
  <c r="L20" i="188"/>
  <c r="K20" i="188"/>
  <c r="J20" i="188"/>
  <c r="I20" i="188"/>
  <c r="H20" i="188"/>
  <c r="G20" i="188"/>
  <c r="F20" i="188"/>
  <c r="Q17" i="188"/>
  <c r="P17" i="188"/>
  <c r="O17" i="188"/>
  <c r="N17" i="188"/>
  <c r="M17" i="188"/>
  <c r="L17" i="188"/>
  <c r="K17" i="188"/>
  <c r="J17" i="188"/>
  <c r="I17" i="188"/>
  <c r="H17" i="188"/>
  <c r="G17" i="188"/>
  <c r="F17" i="188"/>
  <c r="L36" i="187"/>
  <c r="Q23" i="187"/>
  <c r="O23" i="187"/>
  <c r="M23" i="187"/>
  <c r="K23" i="187"/>
  <c r="I23" i="187"/>
  <c r="G23" i="187"/>
  <c r="Q22" i="187"/>
  <c r="P22" i="187"/>
  <c r="O22" i="187"/>
  <c r="N22" i="187"/>
  <c r="M22" i="187"/>
  <c r="L22" i="187"/>
  <c r="K22" i="187"/>
  <c r="J22" i="187"/>
  <c r="I22" i="187"/>
  <c r="H22" i="187"/>
  <c r="G22" i="187"/>
  <c r="F22" i="187"/>
  <c r="Q21" i="187"/>
  <c r="P21" i="187"/>
  <c r="O21" i="187"/>
  <c r="N21" i="187"/>
  <c r="M21" i="187"/>
  <c r="L21" i="187"/>
  <c r="K21" i="187"/>
  <c r="J21" i="187"/>
  <c r="I21" i="187"/>
  <c r="H21" i="187"/>
  <c r="G21" i="187"/>
  <c r="F21" i="187"/>
  <c r="Q20" i="187"/>
  <c r="P20" i="187"/>
  <c r="O20" i="187"/>
  <c r="N20" i="187"/>
  <c r="M20" i="187"/>
  <c r="L20" i="187"/>
  <c r="K20" i="187"/>
  <c r="J20" i="187"/>
  <c r="I20" i="187"/>
  <c r="H20" i="187"/>
  <c r="G20" i="187"/>
  <c r="F20" i="187"/>
  <c r="Q18" i="187"/>
  <c r="P18" i="187"/>
  <c r="O18" i="187"/>
  <c r="N18" i="187"/>
  <c r="M18" i="187"/>
  <c r="L18" i="187"/>
  <c r="K18" i="187"/>
  <c r="J18" i="187"/>
  <c r="I18" i="187"/>
  <c r="H18" i="187"/>
  <c r="G18" i="187"/>
  <c r="F18" i="187"/>
  <c r="L39" i="186"/>
  <c r="Q33" i="186"/>
  <c r="O33" i="186"/>
  <c r="M33" i="186"/>
  <c r="K33" i="186"/>
  <c r="I33" i="186"/>
  <c r="G33" i="186"/>
  <c r="Q32" i="186"/>
  <c r="P32" i="186"/>
  <c r="O32" i="186"/>
  <c r="N32" i="186"/>
  <c r="M32" i="186"/>
  <c r="L32" i="186"/>
  <c r="K32" i="186"/>
  <c r="J32" i="186"/>
  <c r="I32" i="186"/>
  <c r="H32" i="186"/>
  <c r="G32" i="186"/>
  <c r="F32" i="186"/>
  <c r="Q31" i="186"/>
  <c r="P31" i="186"/>
  <c r="O31" i="186"/>
  <c r="N31" i="186"/>
  <c r="M31" i="186"/>
  <c r="L31" i="186"/>
  <c r="K31" i="186"/>
  <c r="J31" i="186"/>
  <c r="I31" i="186"/>
  <c r="H31" i="186"/>
  <c r="G31" i="186"/>
  <c r="F31" i="186"/>
  <c r="Q30" i="186"/>
  <c r="P30" i="186"/>
  <c r="O30" i="186"/>
  <c r="N30" i="186"/>
  <c r="M30" i="186"/>
  <c r="L30" i="186"/>
  <c r="K30" i="186"/>
  <c r="J30" i="186"/>
  <c r="I30" i="186"/>
  <c r="H30" i="186"/>
  <c r="G30" i="186"/>
  <c r="F30" i="186"/>
  <c r="Q29" i="186"/>
  <c r="P29" i="186"/>
  <c r="O29" i="186"/>
  <c r="N29" i="186"/>
  <c r="M29" i="186"/>
  <c r="L29" i="186"/>
  <c r="K29" i="186"/>
  <c r="J29" i="186"/>
  <c r="I29" i="186"/>
  <c r="H29" i="186"/>
  <c r="G29" i="186"/>
  <c r="F29" i="186"/>
  <c r="Q28" i="186"/>
  <c r="P28" i="186"/>
  <c r="O28" i="186"/>
  <c r="N28" i="186"/>
  <c r="M28" i="186"/>
  <c r="L28" i="186"/>
  <c r="K28" i="186"/>
  <c r="J28" i="186"/>
  <c r="I28" i="186"/>
  <c r="H28" i="186"/>
  <c r="G28" i="186"/>
  <c r="F28" i="186"/>
  <c r="Q27" i="186"/>
  <c r="P27" i="186"/>
  <c r="O27" i="186"/>
  <c r="N27" i="186"/>
  <c r="M27" i="186"/>
  <c r="L27" i="186"/>
  <c r="K27" i="186"/>
  <c r="J27" i="186"/>
  <c r="I27" i="186"/>
  <c r="H27" i="186"/>
  <c r="G27" i="186"/>
  <c r="F27" i="186"/>
  <c r="Q26" i="186"/>
  <c r="P26" i="186"/>
  <c r="O26" i="186"/>
  <c r="N26" i="186"/>
  <c r="M26" i="186"/>
  <c r="L26" i="186"/>
  <c r="K26" i="186"/>
  <c r="J26" i="186"/>
  <c r="I26" i="186"/>
  <c r="H26" i="186"/>
  <c r="G26" i="186"/>
  <c r="F26" i="186"/>
  <c r="Q25" i="186"/>
  <c r="P25" i="186"/>
  <c r="O25" i="186"/>
  <c r="N25" i="186"/>
  <c r="M25" i="186"/>
  <c r="L25" i="186"/>
  <c r="K25" i="186"/>
  <c r="J25" i="186"/>
  <c r="I25" i="186"/>
  <c r="H25" i="186"/>
  <c r="G25" i="186"/>
  <c r="F25" i="186"/>
  <c r="Q24" i="186"/>
  <c r="P24" i="186"/>
  <c r="O24" i="186"/>
  <c r="N24" i="186"/>
  <c r="M24" i="186"/>
  <c r="L24" i="186"/>
  <c r="K24" i="186"/>
  <c r="J24" i="186"/>
  <c r="I24" i="186"/>
  <c r="H24" i="186"/>
  <c r="G24" i="186"/>
  <c r="F24" i="186"/>
  <c r="Q23" i="186"/>
  <c r="P23" i="186"/>
  <c r="O23" i="186"/>
  <c r="N23" i="186"/>
  <c r="M23" i="186"/>
  <c r="L23" i="186"/>
  <c r="K23" i="186"/>
  <c r="J23" i="186"/>
  <c r="I23" i="186"/>
  <c r="H23" i="186"/>
  <c r="G23" i="186"/>
  <c r="F23" i="186"/>
  <c r="Q22" i="186"/>
  <c r="P22" i="186"/>
  <c r="O22" i="186"/>
  <c r="N22" i="186"/>
  <c r="M22" i="186"/>
  <c r="L22" i="186"/>
  <c r="K22" i="186"/>
  <c r="J22" i="186"/>
  <c r="I22" i="186"/>
  <c r="H22" i="186"/>
  <c r="G22" i="186"/>
  <c r="F22" i="186"/>
  <c r="Q21" i="186"/>
  <c r="P21" i="186"/>
  <c r="O21" i="186"/>
  <c r="N21" i="186"/>
  <c r="M21" i="186"/>
  <c r="L21" i="186"/>
  <c r="K21" i="186"/>
  <c r="J21" i="186"/>
  <c r="I21" i="186"/>
  <c r="H21" i="186"/>
  <c r="G21" i="186"/>
  <c r="F21" i="186"/>
  <c r="Q20" i="186"/>
  <c r="P20" i="186"/>
  <c r="O20" i="186"/>
  <c r="N20" i="186"/>
  <c r="M20" i="186"/>
  <c r="L20" i="186"/>
  <c r="K20" i="186"/>
  <c r="J20" i="186"/>
  <c r="I20" i="186"/>
  <c r="H20" i="186"/>
  <c r="G20" i="186"/>
  <c r="F20" i="186"/>
  <c r="Q17" i="186"/>
  <c r="P17" i="186"/>
  <c r="O17" i="186"/>
  <c r="N17" i="186"/>
  <c r="M17" i="186"/>
  <c r="L17" i="186"/>
  <c r="K17" i="186"/>
  <c r="J17" i="186"/>
  <c r="I17" i="186"/>
  <c r="H17" i="186"/>
  <c r="G17" i="186"/>
  <c r="F17" i="186"/>
  <c r="L36" i="185"/>
  <c r="Q24" i="185"/>
  <c r="O24" i="185"/>
  <c r="M24" i="185"/>
  <c r="K24" i="185"/>
  <c r="I24" i="185"/>
  <c r="G24" i="185"/>
  <c r="Q23" i="185"/>
  <c r="P23" i="185"/>
  <c r="O23" i="185"/>
  <c r="N23" i="185"/>
  <c r="M23" i="185"/>
  <c r="L23" i="185"/>
  <c r="K23" i="185"/>
  <c r="J23" i="185"/>
  <c r="I23" i="185"/>
  <c r="H23" i="185"/>
  <c r="G23" i="185"/>
  <c r="F23" i="185"/>
  <c r="Q22" i="185"/>
  <c r="P22" i="185"/>
  <c r="O22" i="185"/>
  <c r="N22" i="185"/>
  <c r="M22" i="185"/>
  <c r="L22" i="185"/>
  <c r="K22" i="185"/>
  <c r="J22" i="185"/>
  <c r="I22" i="185"/>
  <c r="H22" i="185"/>
  <c r="G22" i="185"/>
  <c r="F22" i="185"/>
  <c r="Q21" i="185"/>
  <c r="P21" i="185"/>
  <c r="O21" i="185"/>
  <c r="N21" i="185"/>
  <c r="M21" i="185"/>
  <c r="L21" i="185"/>
  <c r="K21" i="185"/>
  <c r="J21" i="185"/>
  <c r="I21" i="185"/>
  <c r="H21" i="185"/>
  <c r="G21" i="185"/>
  <c r="F21" i="185"/>
  <c r="Q19" i="185"/>
  <c r="P19" i="185"/>
  <c r="O19" i="185"/>
  <c r="N19" i="185"/>
  <c r="M19" i="185"/>
  <c r="L19" i="185"/>
  <c r="K19" i="185"/>
  <c r="J19" i="185"/>
  <c r="I19" i="185"/>
  <c r="H19" i="185"/>
  <c r="G19" i="185"/>
  <c r="F19" i="185"/>
  <c r="L39" i="184"/>
  <c r="Q38" i="184"/>
  <c r="O38" i="184"/>
  <c r="M38" i="184"/>
  <c r="K38" i="184"/>
  <c r="I38" i="184"/>
  <c r="G38" i="184"/>
  <c r="Q37" i="184"/>
  <c r="P37" i="184"/>
  <c r="O37" i="184"/>
  <c r="N37" i="184"/>
  <c r="M37" i="184"/>
  <c r="L37" i="184"/>
  <c r="K37" i="184"/>
  <c r="J37" i="184"/>
  <c r="I37" i="184"/>
  <c r="H37" i="184"/>
  <c r="G37" i="184"/>
  <c r="F37" i="184"/>
  <c r="Q36" i="184"/>
  <c r="P36" i="184"/>
  <c r="O36" i="184"/>
  <c r="N36" i="184"/>
  <c r="M36" i="184"/>
  <c r="L36" i="184"/>
  <c r="K36" i="184"/>
  <c r="J36" i="184"/>
  <c r="I36" i="184"/>
  <c r="H36" i="184"/>
  <c r="G36" i="184"/>
  <c r="F36" i="184"/>
  <c r="Q35" i="184"/>
  <c r="P35" i="184"/>
  <c r="O35" i="184"/>
  <c r="N35" i="184"/>
  <c r="M35" i="184"/>
  <c r="L35" i="184"/>
  <c r="K35" i="184"/>
  <c r="J35" i="184"/>
  <c r="I35" i="184"/>
  <c r="H35" i="184"/>
  <c r="G35" i="184"/>
  <c r="F35" i="184"/>
  <c r="Q34" i="184"/>
  <c r="P34" i="184"/>
  <c r="O34" i="184"/>
  <c r="N34" i="184"/>
  <c r="M34" i="184"/>
  <c r="L34" i="184"/>
  <c r="K34" i="184"/>
  <c r="J34" i="184"/>
  <c r="I34" i="184"/>
  <c r="H34" i="184"/>
  <c r="G34" i="184"/>
  <c r="F34" i="184"/>
  <c r="Q33" i="184"/>
  <c r="P33" i="184"/>
  <c r="O33" i="184"/>
  <c r="N33" i="184"/>
  <c r="M33" i="184"/>
  <c r="L33" i="184"/>
  <c r="K33" i="184"/>
  <c r="J33" i="184"/>
  <c r="I33" i="184"/>
  <c r="H33" i="184"/>
  <c r="G33" i="184"/>
  <c r="F33" i="184"/>
  <c r="Q32" i="184"/>
  <c r="P32" i="184"/>
  <c r="O32" i="184"/>
  <c r="N32" i="184"/>
  <c r="M32" i="184"/>
  <c r="L32" i="184"/>
  <c r="K32" i="184"/>
  <c r="J32" i="184"/>
  <c r="I32" i="184"/>
  <c r="H32" i="184"/>
  <c r="G32" i="184"/>
  <c r="F32" i="184"/>
  <c r="Q31" i="184"/>
  <c r="P31" i="184"/>
  <c r="O31" i="184"/>
  <c r="N31" i="184"/>
  <c r="M31" i="184"/>
  <c r="L31" i="184"/>
  <c r="K31" i="184"/>
  <c r="J31" i="184"/>
  <c r="I31" i="184"/>
  <c r="H31" i="184"/>
  <c r="G31" i="184"/>
  <c r="F31" i="184"/>
  <c r="Q30" i="184"/>
  <c r="P30" i="184"/>
  <c r="O30" i="184"/>
  <c r="N30" i="184"/>
  <c r="M30" i="184"/>
  <c r="L30" i="184"/>
  <c r="K30" i="184"/>
  <c r="J30" i="184"/>
  <c r="I30" i="184"/>
  <c r="H30" i="184"/>
  <c r="G30" i="184"/>
  <c r="F30" i="184"/>
  <c r="Q29" i="184"/>
  <c r="P29" i="184"/>
  <c r="O29" i="184"/>
  <c r="N29" i="184"/>
  <c r="M29" i="184"/>
  <c r="L29" i="184"/>
  <c r="K29" i="184"/>
  <c r="J29" i="184"/>
  <c r="I29" i="184"/>
  <c r="H29" i="184"/>
  <c r="G29" i="184"/>
  <c r="F29" i="184"/>
  <c r="Q28" i="184"/>
  <c r="P28" i="184"/>
  <c r="O28" i="184"/>
  <c r="N28" i="184"/>
  <c r="M28" i="184"/>
  <c r="L28" i="184"/>
  <c r="K28" i="184"/>
  <c r="J28" i="184"/>
  <c r="I28" i="184"/>
  <c r="H28" i="184"/>
  <c r="G28" i="184"/>
  <c r="F28" i="184"/>
  <c r="Q27" i="184"/>
  <c r="P27" i="184"/>
  <c r="O27" i="184"/>
  <c r="N27" i="184"/>
  <c r="M27" i="184"/>
  <c r="L27" i="184"/>
  <c r="K27" i="184"/>
  <c r="J27" i="184"/>
  <c r="I27" i="184"/>
  <c r="H27" i="184"/>
  <c r="G27" i="184"/>
  <c r="F27" i="184"/>
  <c r="Q24" i="184"/>
  <c r="P24" i="184"/>
  <c r="O24" i="184"/>
  <c r="N24" i="184"/>
  <c r="M24" i="184"/>
  <c r="L24" i="184"/>
  <c r="K24" i="184"/>
  <c r="J24" i="184"/>
  <c r="I24" i="184"/>
  <c r="H24" i="184"/>
  <c r="G24" i="184"/>
  <c r="F24" i="184"/>
  <c r="L37" i="183"/>
  <c r="Q26" i="183"/>
  <c r="O26" i="183"/>
  <c r="M26" i="183"/>
  <c r="K26" i="183"/>
  <c r="I26" i="183"/>
  <c r="G26" i="183"/>
  <c r="Q25" i="183"/>
  <c r="P25" i="183"/>
  <c r="O25" i="183"/>
  <c r="N25" i="183"/>
  <c r="M25" i="183"/>
  <c r="L25" i="183"/>
  <c r="K25" i="183"/>
  <c r="J25" i="183"/>
  <c r="I25" i="183"/>
  <c r="H25" i="183"/>
  <c r="G25" i="183"/>
  <c r="F25" i="183"/>
  <c r="Q24" i="183"/>
  <c r="P24" i="183"/>
  <c r="O24" i="183"/>
  <c r="N24" i="183"/>
  <c r="M24" i="183"/>
  <c r="L24" i="183"/>
  <c r="K24" i="183"/>
  <c r="J24" i="183"/>
  <c r="I24" i="183"/>
  <c r="H24" i="183"/>
  <c r="G24" i="183"/>
  <c r="F24" i="183"/>
  <c r="Q23" i="183"/>
  <c r="P23" i="183"/>
  <c r="O23" i="183"/>
  <c r="N23" i="183"/>
  <c r="M23" i="183"/>
  <c r="L23" i="183"/>
  <c r="K23" i="183"/>
  <c r="J23" i="183"/>
  <c r="I23" i="183"/>
  <c r="H23" i="183"/>
  <c r="G23" i="183"/>
  <c r="F23" i="183"/>
  <c r="Q22" i="183"/>
  <c r="P22" i="183"/>
  <c r="O22" i="183"/>
  <c r="N22" i="183"/>
  <c r="M22" i="183"/>
  <c r="L22" i="183"/>
  <c r="K22" i="183"/>
  <c r="J22" i="183"/>
  <c r="I22" i="183"/>
  <c r="H22" i="183"/>
  <c r="G22" i="183"/>
  <c r="F22" i="183"/>
  <c r="Q21" i="183"/>
  <c r="P21" i="183"/>
  <c r="O21" i="183"/>
  <c r="N21" i="183"/>
  <c r="M21" i="183"/>
  <c r="L21" i="183"/>
  <c r="K21" i="183"/>
  <c r="J21" i="183"/>
  <c r="I21" i="183"/>
  <c r="H21" i="183"/>
  <c r="G21" i="183"/>
  <c r="F21" i="183"/>
  <c r="Q19" i="183"/>
  <c r="P19" i="183"/>
  <c r="O19" i="183"/>
  <c r="N19" i="183"/>
  <c r="M19" i="183"/>
  <c r="L19" i="183"/>
  <c r="K19" i="183"/>
  <c r="J19" i="183"/>
  <c r="I19" i="183"/>
  <c r="H19" i="183"/>
  <c r="G19" i="183"/>
  <c r="F19" i="183"/>
  <c r="K27" i="182"/>
  <c r="K26" i="182"/>
  <c r="J26" i="182"/>
  <c r="K25" i="182"/>
  <c r="J25" i="182"/>
  <c r="K24" i="182"/>
  <c r="J24" i="182"/>
  <c r="K23" i="182"/>
  <c r="J23" i="182"/>
  <c r="K22" i="182"/>
  <c r="J22" i="182"/>
  <c r="K21" i="182"/>
  <c r="J21" i="182"/>
  <c r="K20" i="182"/>
  <c r="J20" i="182"/>
  <c r="K19" i="182"/>
  <c r="J19" i="182"/>
  <c r="K18" i="182"/>
  <c r="J18" i="182"/>
  <c r="K16" i="182"/>
  <c r="J16" i="182"/>
  <c r="K28" i="181"/>
  <c r="K27" i="181"/>
  <c r="J27" i="181"/>
  <c r="K26" i="181"/>
  <c r="J26" i="181"/>
  <c r="K25" i="181"/>
  <c r="J25" i="181"/>
  <c r="K24" i="181"/>
  <c r="J24" i="181"/>
  <c r="K23" i="181"/>
  <c r="J23" i="181"/>
  <c r="K22" i="181"/>
  <c r="J22" i="181"/>
  <c r="K21" i="181"/>
  <c r="J21" i="181"/>
  <c r="K20" i="181"/>
  <c r="J20" i="181"/>
  <c r="K19" i="181"/>
  <c r="J19" i="181"/>
  <c r="K17" i="181"/>
  <c r="J17" i="181"/>
  <c r="J55" i="180"/>
  <c r="J54" i="180"/>
  <c r="I54" i="180"/>
  <c r="J53" i="180"/>
  <c r="I53" i="180"/>
  <c r="J52" i="180"/>
  <c r="I52" i="180"/>
  <c r="J51" i="180"/>
  <c r="I51" i="180"/>
  <c r="J50" i="180"/>
  <c r="I50" i="180"/>
  <c r="J49" i="180"/>
  <c r="I49" i="180"/>
  <c r="J48" i="180"/>
  <c r="I48" i="180"/>
  <c r="J47" i="180"/>
  <c r="I47" i="180"/>
  <c r="J46" i="180"/>
  <c r="I46" i="180"/>
  <c r="J45" i="180"/>
  <c r="I45" i="180"/>
  <c r="J44" i="180"/>
  <c r="I44" i="180"/>
  <c r="J43" i="180"/>
  <c r="I43" i="180"/>
  <c r="J42" i="180"/>
  <c r="I42" i="180"/>
  <c r="J41" i="180"/>
  <c r="I41" i="180"/>
  <c r="J40" i="180"/>
  <c r="I40" i="180"/>
  <c r="J39" i="180"/>
  <c r="I39" i="180"/>
  <c r="J37" i="180"/>
  <c r="I37" i="180"/>
  <c r="J48" i="179"/>
  <c r="J47" i="179"/>
  <c r="I47" i="179"/>
  <c r="J46" i="179"/>
  <c r="I46" i="179"/>
  <c r="I45" i="179"/>
  <c r="J44" i="179"/>
  <c r="I44" i="179"/>
  <c r="J43" i="179"/>
  <c r="I43" i="179"/>
  <c r="J42" i="179"/>
  <c r="I42" i="179"/>
  <c r="J41" i="179"/>
  <c r="I41" i="179"/>
  <c r="J40" i="179"/>
  <c r="I40" i="179"/>
  <c r="J38" i="179"/>
  <c r="I38" i="179"/>
  <c r="J36" i="178"/>
  <c r="J35" i="178"/>
  <c r="I35" i="178"/>
  <c r="J33" i="178"/>
  <c r="I33" i="178"/>
  <c r="J46" i="177"/>
  <c r="J45" i="177"/>
  <c r="I45" i="177"/>
  <c r="J44" i="177"/>
  <c r="I44" i="177"/>
  <c r="I43" i="177"/>
  <c r="J42" i="177"/>
  <c r="I42" i="177"/>
  <c r="J41" i="177"/>
  <c r="I41" i="177"/>
  <c r="J40" i="177"/>
  <c r="I40" i="177"/>
  <c r="J38" i="177"/>
  <c r="I38" i="177"/>
  <c r="J39" i="176"/>
  <c r="J38" i="176"/>
  <c r="I38" i="176"/>
  <c r="J57" i="175"/>
  <c r="J56" i="175"/>
  <c r="I56" i="175"/>
  <c r="J55" i="175"/>
  <c r="I55" i="175"/>
  <c r="J54" i="175"/>
  <c r="I54" i="175"/>
  <c r="J53" i="175"/>
  <c r="I53" i="175"/>
  <c r="J52" i="175"/>
  <c r="I52" i="175"/>
  <c r="J51" i="175"/>
  <c r="I51" i="175"/>
  <c r="J50" i="175"/>
  <c r="I50" i="175"/>
  <c r="J49" i="175"/>
  <c r="I49" i="175"/>
  <c r="J48" i="175"/>
  <c r="I48" i="175"/>
  <c r="I47" i="175"/>
  <c r="J46" i="175"/>
  <c r="I46" i="175"/>
  <c r="I45" i="175"/>
  <c r="J44" i="175"/>
  <c r="I44" i="175"/>
  <c r="J43" i="175"/>
  <c r="I43" i="175"/>
  <c r="J42" i="175"/>
  <c r="I42" i="175"/>
  <c r="J41" i="175"/>
  <c r="I41" i="175"/>
  <c r="J40" i="175"/>
  <c r="I40" i="175"/>
  <c r="J38" i="175"/>
  <c r="I38" i="175"/>
  <c r="K34" i="174"/>
  <c r="K33" i="174"/>
  <c r="J33" i="174"/>
  <c r="K65" i="173"/>
  <c r="K64" i="173"/>
  <c r="J64" i="173"/>
  <c r="K63" i="173"/>
  <c r="J63" i="173"/>
  <c r="K62" i="173"/>
  <c r="J62" i="173"/>
  <c r="K61" i="173"/>
  <c r="J61" i="173"/>
  <c r="K60" i="173"/>
  <c r="J60" i="173"/>
  <c r="K59" i="173"/>
  <c r="J59" i="173"/>
  <c r="K58" i="173"/>
  <c r="J58" i="173"/>
  <c r="K57" i="173"/>
  <c r="J57" i="173"/>
  <c r="K56" i="173"/>
  <c r="J56" i="173"/>
  <c r="K55" i="173"/>
  <c r="J55" i="173"/>
  <c r="K54" i="173"/>
  <c r="J54" i="173"/>
  <c r="K53" i="173"/>
  <c r="J53" i="173"/>
  <c r="K52" i="173"/>
  <c r="J52" i="173"/>
  <c r="K51" i="173"/>
  <c r="J51" i="173"/>
  <c r="K50" i="173"/>
  <c r="J50" i="173"/>
  <c r="K49" i="173"/>
  <c r="J49" i="173"/>
  <c r="K48" i="173"/>
  <c r="J48" i="173"/>
  <c r="K47" i="173"/>
  <c r="J47" i="173"/>
  <c r="K46" i="173"/>
  <c r="J46" i="173"/>
  <c r="K45" i="173"/>
  <c r="J45" i="173"/>
  <c r="K44" i="173"/>
  <c r="J44" i="173"/>
  <c r="K43" i="173"/>
  <c r="J43" i="173"/>
  <c r="K42" i="173"/>
  <c r="J42" i="173"/>
  <c r="K41" i="173"/>
  <c r="J41" i="173"/>
  <c r="K40" i="173"/>
  <c r="J40" i="173"/>
  <c r="K39" i="173"/>
  <c r="J39" i="173"/>
  <c r="K38" i="173"/>
  <c r="J38" i="173"/>
  <c r="K37" i="173"/>
  <c r="J37" i="173"/>
  <c r="K36" i="173"/>
  <c r="J36" i="173"/>
  <c r="K34" i="173"/>
  <c r="J34" i="173"/>
  <c r="K57" i="172"/>
  <c r="K56" i="172"/>
  <c r="J56" i="172"/>
  <c r="K55" i="172"/>
  <c r="J55" i="172"/>
  <c r="K54" i="172"/>
  <c r="J54" i="172"/>
  <c r="K53" i="172"/>
  <c r="J53" i="172"/>
  <c r="K52" i="172"/>
  <c r="J52" i="172"/>
  <c r="K51" i="172"/>
  <c r="J51" i="172"/>
  <c r="K50" i="172"/>
  <c r="J50" i="172"/>
  <c r="K49" i="172"/>
  <c r="J49" i="172"/>
  <c r="K48" i="172"/>
  <c r="J48" i="172"/>
  <c r="K47" i="172"/>
  <c r="J47" i="172"/>
  <c r="K46" i="172"/>
  <c r="J46" i="172"/>
  <c r="K45" i="172"/>
  <c r="J45" i="172"/>
  <c r="K44" i="172"/>
  <c r="J44" i="172"/>
  <c r="K43" i="172"/>
  <c r="J43" i="172"/>
  <c r="K42" i="172"/>
  <c r="J42" i="172"/>
  <c r="K41" i="172"/>
  <c r="J41" i="172"/>
  <c r="K40" i="172"/>
  <c r="J40" i="172"/>
  <c r="K39" i="172"/>
  <c r="J39" i="172"/>
  <c r="K38" i="172"/>
  <c r="J38" i="172"/>
  <c r="K37" i="172"/>
  <c r="J37" i="172"/>
  <c r="K35" i="172"/>
  <c r="J35" i="172"/>
  <c r="K37" i="171"/>
  <c r="K36" i="171"/>
  <c r="J36" i="171"/>
  <c r="K57" i="170"/>
  <c r="K56" i="170"/>
  <c r="J56" i="170"/>
  <c r="K55" i="170"/>
  <c r="J55" i="170"/>
  <c r="K54" i="170"/>
  <c r="J54" i="170"/>
  <c r="K53" i="170"/>
  <c r="J53" i="170"/>
  <c r="K52" i="170"/>
  <c r="J52" i="170"/>
  <c r="K51" i="170"/>
  <c r="J51" i="170"/>
  <c r="K50" i="170"/>
  <c r="J50" i="170"/>
  <c r="K49" i="170"/>
  <c r="J49" i="170"/>
  <c r="K48" i="170"/>
  <c r="J48" i="170"/>
  <c r="K47" i="170"/>
  <c r="J47" i="170"/>
  <c r="K46" i="170"/>
  <c r="J46" i="170"/>
  <c r="K45" i="170"/>
  <c r="J45" i="170"/>
  <c r="K44" i="170"/>
  <c r="J44" i="170"/>
  <c r="K43" i="170"/>
  <c r="J43" i="170"/>
  <c r="K42" i="170"/>
  <c r="J42" i="170"/>
  <c r="K41" i="170"/>
  <c r="J41" i="170"/>
  <c r="K40" i="170"/>
  <c r="J40" i="170"/>
  <c r="K38" i="170"/>
  <c r="J38" i="170"/>
  <c r="K40" i="169"/>
  <c r="K39" i="169"/>
  <c r="J39" i="169"/>
  <c r="K38" i="169"/>
  <c r="J38" i="169"/>
  <c r="K37" i="169"/>
  <c r="J37" i="169"/>
  <c r="K35" i="169"/>
  <c r="J35" i="169"/>
  <c r="K34" i="168"/>
  <c r="K33" i="168"/>
  <c r="J33" i="168"/>
  <c r="K53" i="167"/>
  <c r="K52" i="167"/>
  <c r="J52" i="167"/>
  <c r="K51" i="167"/>
  <c r="J51" i="167"/>
  <c r="K50" i="167"/>
  <c r="J50" i="167"/>
  <c r="K49" i="167"/>
  <c r="J49" i="167"/>
  <c r="K48" i="167"/>
  <c r="J48" i="167"/>
  <c r="K47" i="167"/>
  <c r="J47" i="167"/>
  <c r="K46" i="167"/>
  <c r="J46" i="167"/>
  <c r="K45" i="167"/>
  <c r="J45" i="167"/>
  <c r="K44" i="167"/>
  <c r="J44" i="167"/>
  <c r="K43" i="167"/>
  <c r="J43" i="167"/>
  <c r="K42" i="167"/>
  <c r="J42" i="167"/>
  <c r="K41" i="167"/>
  <c r="J41" i="167"/>
  <c r="K40" i="167"/>
  <c r="J40" i="167"/>
  <c r="K38" i="167"/>
  <c r="J38" i="167"/>
  <c r="K39" i="166"/>
  <c r="K38" i="166"/>
  <c r="J38" i="166"/>
  <c r="K37" i="166"/>
  <c r="J37" i="166"/>
  <c r="K36" i="166"/>
  <c r="J36" i="166"/>
  <c r="K34" i="166"/>
  <c r="J34" i="166"/>
  <c r="O92" i="163"/>
  <c r="O92" i="163" a="1"/>
  <c r="M92" i="163"/>
  <c r="M92" i="163" a="1"/>
  <c r="K92" i="163"/>
  <c r="K92" i="163" a="1"/>
  <c r="I92" i="163"/>
  <c r="I92" i="163" a="1"/>
  <c r="G92" i="163"/>
  <c r="G92" i="163" a="1"/>
  <c r="O91" i="163"/>
  <c r="N91" i="163"/>
  <c r="M91" i="163"/>
  <c r="L91" i="163"/>
  <c r="K91" i="163"/>
  <c r="J91" i="163"/>
  <c r="I91" i="163"/>
  <c r="H91" i="163"/>
  <c r="G91" i="163"/>
  <c r="F91" i="163"/>
  <c r="O90" i="163"/>
  <c r="N90" i="163"/>
  <c r="M90" i="163"/>
  <c r="L90" i="163"/>
  <c r="K90" i="163"/>
  <c r="J90" i="163"/>
  <c r="I90" i="163"/>
  <c r="H90" i="163"/>
  <c r="G90" i="163"/>
  <c r="F90" i="163"/>
  <c r="O89" i="163"/>
  <c r="N89" i="163"/>
  <c r="M89" i="163"/>
  <c r="L89" i="163"/>
  <c r="K89" i="163"/>
  <c r="J89" i="163"/>
  <c r="I89" i="163"/>
  <c r="H89" i="163"/>
  <c r="G89" i="163"/>
  <c r="F89" i="163"/>
  <c r="O88" i="163"/>
  <c r="N88" i="163"/>
  <c r="M88" i="163"/>
  <c r="L88" i="163"/>
  <c r="K88" i="163"/>
  <c r="J88" i="163"/>
  <c r="I88" i="163"/>
  <c r="H88" i="163"/>
  <c r="G88" i="163"/>
  <c r="F88" i="163"/>
  <c r="O87" i="163"/>
  <c r="N87" i="163"/>
  <c r="M87" i="163"/>
  <c r="L87" i="163"/>
  <c r="K87" i="163"/>
  <c r="J87" i="163"/>
  <c r="I87" i="163"/>
  <c r="H87" i="163"/>
  <c r="G87" i="163"/>
  <c r="F87" i="163"/>
  <c r="O86" i="163"/>
  <c r="N86" i="163"/>
  <c r="M86" i="163"/>
  <c r="L86" i="163"/>
  <c r="K86" i="163"/>
  <c r="J86" i="163"/>
  <c r="I86" i="163"/>
  <c r="H86" i="163"/>
  <c r="G86" i="163"/>
  <c r="F86" i="163"/>
  <c r="O85" i="163"/>
  <c r="N85" i="163"/>
  <c r="M85" i="163"/>
  <c r="L85" i="163"/>
  <c r="K85" i="163"/>
  <c r="J85" i="163"/>
  <c r="I85" i="163"/>
  <c r="H85" i="163"/>
  <c r="G85" i="163"/>
  <c r="F85" i="163"/>
  <c r="O84" i="163"/>
  <c r="N84" i="163"/>
  <c r="M84" i="163"/>
  <c r="L84" i="163"/>
  <c r="K84" i="163"/>
  <c r="J84" i="163"/>
  <c r="I84" i="163"/>
  <c r="H84" i="163"/>
  <c r="G84" i="163"/>
  <c r="F84" i="163"/>
  <c r="O83" i="163"/>
  <c r="N83" i="163"/>
  <c r="M83" i="163"/>
  <c r="L83" i="163"/>
  <c r="K83" i="163"/>
  <c r="J83" i="163"/>
  <c r="I83" i="163"/>
  <c r="H83" i="163"/>
  <c r="G83" i="163"/>
  <c r="F83" i="163"/>
  <c r="O82" i="163"/>
  <c r="N82" i="163"/>
  <c r="M82" i="163"/>
  <c r="L82" i="163"/>
  <c r="K82" i="163"/>
  <c r="J82" i="163"/>
  <c r="I82" i="163"/>
  <c r="H82" i="163"/>
  <c r="G82" i="163"/>
  <c r="F82" i="163"/>
  <c r="O81" i="163"/>
  <c r="N81" i="163"/>
  <c r="M81" i="163"/>
  <c r="L81" i="163"/>
  <c r="K81" i="163"/>
  <c r="J81" i="163"/>
  <c r="I81" i="163"/>
  <c r="H81" i="163"/>
  <c r="G81" i="163"/>
  <c r="F81" i="163"/>
  <c r="O80" i="163"/>
  <c r="N80" i="163"/>
  <c r="M80" i="163"/>
  <c r="L80" i="163"/>
  <c r="K80" i="163"/>
  <c r="J80" i="163"/>
  <c r="I80" i="163"/>
  <c r="H80" i="163"/>
  <c r="G80" i="163"/>
  <c r="F80" i="163"/>
  <c r="O79" i="163"/>
  <c r="N79" i="163"/>
  <c r="M79" i="163"/>
  <c r="L79" i="163"/>
  <c r="K79" i="163"/>
  <c r="J79" i="163"/>
  <c r="I79" i="163"/>
  <c r="H79" i="163"/>
  <c r="G79" i="163"/>
  <c r="F79" i="163"/>
  <c r="O78" i="163"/>
  <c r="N78" i="163"/>
  <c r="M78" i="163"/>
  <c r="L78" i="163"/>
  <c r="K78" i="163"/>
  <c r="J78" i="163"/>
  <c r="I78" i="163"/>
  <c r="H78" i="163"/>
  <c r="G78" i="163"/>
  <c r="F78" i="163"/>
  <c r="O77" i="163"/>
  <c r="N77" i="163"/>
  <c r="M77" i="163"/>
  <c r="L77" i="163"/>
  <c r="K77" i="163"/>
  <c r="J77" i="163"/>
  <c r="I77" i="163"/>
  <c r="H77" i="163"/>
  <c r="G77" i="163"/>
  <c r="F77" i="163"/>
  <c r="O76" i="163"/>
  <c r="N76" i="163"/>
  <c r="M76" i="163"/>
  <c r="L76" i="163"/>
  <c r="K76" i="163"/>
  <c r="J76" i="163"/>
  <c r="I76" i="163"/>
  <c r="H76" i="163"/>
  <c r="G76" i="163"/>
  <c r="F76" i="163"/>
  <c r="O75" i="163"/>
  <c r="N75" i="163"/>
  <c r="M75" i="163"/>
  <c r="L75" i="163"/>
  <c r="K75" i="163"/>
  <c r="J75" i="163"/>
  <c r="I75" i="163"/>
  <c r="H75" i="163"/>
  <c r="G75" i="163"/>
  <c r="F75" i="163"/>
  <c r="O74" i="163"/>
  <c r="N74" i="163"/>
  <c r="M74" i="163"/>
  <c r="L74" i="163"/>
  <c r="K74" i="163"/>
  <c r="J74" i="163"/>
  <c r="I74" i="163"/>
  <c r="H74" i="163"/>
  <c r="G74" i="163"/>
  <c r="F74" i="163"/>
  <c r="O73" i="163"/>
  <c r="N73" i="163"/>
  <c r="M73" i="163"/>
  <c r="L73" i="163"/>
  <c r="K73" i="163"/>
  <c r="J73" i="163"/>
  <c r="I73" i="163"/>
  <c r="H73" i="163"/>
  <c r="G73" i="163"/>
  <c r="F73" i="163"/>
  <c r="O72" i="163"/>
  <c r="N72" i="163"/>
  <c r="M72" i="163"/>
  <c r="L72" i="163"/>
  <c r="K72" i="163"/>
  <c r="J72" i="163"/>
  <c r="I72" i="163"/>
  <c r="H72" i="163"/>
  <c r="G72" i="163"/>
  <c r="F72" i="163"/>
  <c r="O71" i="163"/>
  <c r="N71" i="163"/>
  <c r="M71" i="163"/>
  <c r="L71" i="163"/>
  <c r="K71" i="163"/>
  <c r="J71" i="163"/>
  <c r="I71" i="163"/>
  <c r="H71" i="163"/>
  <c r="G71" i="163"/>
  <c r="F71" i="163"/>
  <c r="O70" i="163"/>
  <c r="N70" i="163"/>
  <c r="M70" i="163"/>
  <c r="L70" i="163"/>
  <c r="K70" i="163"/>
  <c r="J70" i="163"/>
  <c r="I70" i="163"/>
  <c r="H70" i="163"/>
  <c r="G70" i="163"/>
  <c r="F70" i="163"/>
  <c r="O69" i="163"/>
  <c r="N69" i="163"/>
  <c r="M69" i="163"/>
  <c r="L69" i="163"/>
  <c r="K69" i="163"/>
  <c r="J69" i="163"/>
  <c r="I69" i="163"/>
  <c r="H69" i="163"/>
  <c r="G69" i="163"/>
  <c r="F69" i="163"/>
  <c r="O68" i="163"/>
  <c r="N68" i="163"/>
  <c r="M68" i="163"/>
  <c r="L68" i="163"/>
  <c r="K68" i="163"/>
  <c r="J68" i="163"/>
  <c r="I68" i="163"/>
  <c r="H68" i="163"/>
  <c r="G68" i="163"/>
  <c r="F68" i="163"/>
  <c r="O67" i="163"/>
  <c r="N67" i="163"/>
  <c r="M67" i="163"/>
  <c r="L67" i="163"/>
  <c r="K67" i="163"/>
  <c r="J67" i="163"/>
  <c r="I67" i="163"/>
  <c r="H67" i="163"/>
  <c r="G67" i="163"/>
  <c r="F67" i="163"/>
  <c r="O66" i="163"/>
  <c r="N66" i="163"/>
  <c r="M66" i="163"/>
  <c r="L66" i="163"/>
  <c r="K66" i="163"/>
  <c r="J66" i="163"/>
  <c r="I66" i="163"/>
  <c r="H66" i="163"/>
  <c r="G66" i="163"/>
  <c r="F66" i="163"/>
  <c r="O65" i="163"/>
  <c r="N65" i="163"/>
  <c r="M65" i="163"/>
  <c r="L65" i="163"/>
  <c r="K65" i="163"/>
  <c r="J65" i="163"/>
  <c r="I65" i="163"/>
  <c r="H65" i="163"/>
  <c r="G65" i="163"/>
  <c r="F65" i="163"/>
  <c r="O64" i="163"/>
  <c r="N64" i="163"/>
  <c r="M64" i="163"/>
  <c r="L64" i="163"/>
  <c r="K64" i="163"/>
  <c r="J64" i="163"/>
  <c r="I64" i="163"/>
  <c r="H64" i="163"/>
  <c r="G64" i="163"/>
  <c r="F64" i="163"/>
  <c r="O63" i="163"/>
  <c r="N63" i="163"/>
  <c r="M63" i="163"/>
  <c r="L63" i="163"/>
  <c r="K63" i="163"/>
  <c r="J63" i="163"/>
  <c r="I63" i="163"/>
  <c r="H63" i="163"/>
  <c r="G63" i="163"/>
  <c r="F63" i="163"/>
  <c r="O62" i="163"/>
  <c r="N62" i="163"/>
  <c r="M62" i="163"/>
  <c r="L62" i="163"/>
  <c r="K62" i="163"/>
  <c r="J62" i="163"/>
  <c r="I62" i="163"/>
  <c r="H62" i="163"/>
  <c r="G62" i="163"/>
  <c r="F62" i="163"/>
  <c r="O61" i="163"/>
  <c r="N61" i="163"/>
  <c r="M61" i="163"/>
  <c r="L61" i="163"/>
  <c r="K61" i="163"/>
  <c r="J61" i="163"/>
  <c r="I61" i="163"/>
  <c r="H61" i="163"/>
  <c r="G61" i="163"/>
  <c r="F61" i="163"/>
  <c r="O60" i="163"/>
  <c r="N60" i="163"/>
  <c r="M60" i="163"/>
  <c r="L60" i="163"/>
  <c r="K60" i="163"/>
  <c r="J60" i="163"/>
  <c r="I60" i="163"/>
  <c r="H60" i="163"/>
  <c r="G60" i="163"/>
  <c r="F60" i="163"/>
  <c r="O59" i="163"/>
  <c r="N59" i="163"/>
  <c r="M59" i="163"/>
  <c r="L59" i="163"/>
  <c r="K59" i="163"/>
  <c r="J59" i="163"/>
  <c r="I59" i="163"/>
  <c r="H59" i="163"/>
  <c r="G59" i="163"/>
  <c r="F59" i="163"/>
  <c r="O58" i="163"/>
  <c r="N58" i="163"/>
  <c r="M58" i="163"/>
  <c r="L58" i="163"/>
  <c r="K58" i="163"/>
  <c r="J58" i="163"/>
  <c r="I58" i="163"/>
  <c r="H58" i="163"/>
  <c r="G58" i="163"/>
  <c r="F58" i="163"/>
  <c r="O57" i="163"/>
  <c r="N57" i="163"/>
  <c r="M57" i="163"/>
  <c r="L57" i="163"/>
  <c r="K57" i="163"/>
  <c r="J57" i="163"/>
  <c r="I57" i="163"/>
  <c r="H57" i="163"/>
  <c r="G57" i="163"/>
  <c r="F57" i="163"/>
  <c r="O56" i="163"/>
  <c r="N56" i="163"/>
  <c r="M56" i="163"/>
  <c r="L56" i="163"/>
  <c r="K56" i="163"/>
  <c r="J56" i="163"/>
  <c r="I56" i="163"/>
  <c r="H56" i="163"/>
  <c r="G56" i="163"/>
  <c r="F56" i="163"/>
  <c r="O55" i="163"/>
  <c r="N55" i="163"/>
  <c r="M55" i="163"/>
  <c r="L55" i="163"/>
  <c r="K55" i="163"/>
  <c r="J55" i="163"/>
  <c r="I55" i="163"/>
  <c r="H55" i="163"/>
  <c r="G55" i="163"/>
  <c r="F55" i="163"/>
  <c r="O54" i="163"/>
  <c r="N54" i="163"/>
  <c r="M54" i="163"/>
  <c r="L54" i="163"/>
  <c r="K54" i="163"/>
  <c r="J54" i="163"/>
  <c r="I54" i="163"/>
  <c r="H54" i="163"/>
  <c r="G54" i="163"/>
  <c r="F54" i="163"/>
  <c r="O53" i="163"/>
  <c r="N53" i="163"/>
  <c r="M53" i="163"/>
  <c r="L53" i="163"/>
  <c r="K53" i="163"/>
  <c r="J53" i="163"/>
  <c r="I53" i="163"/>
  <c r="H53" i="163"/>
  <c r="G53" i="163"/>
  <c r="F53" i="163"/>
  <c r="O52" i="163"/>
  <c r="N52" i="163"/>
  <c r="M52" i="163"/>
  <c r="L52" i="163"/>
  <c r="K52" i="163"/>
  <c r="J52" i="163"/>
  <c r="I52" i="163"/>
  <c r="H52" i="163"/>
  <c r="G52" i="163"/>
  <c r="F52" i="163"/>
  <c r="O51" i="163"/>
  <c r="N51" i="163"/>
  <c r="M51" i="163"/>
  <c r="L51" i="163"/>
  <c r="K51" i="163"/>
  <c r="J51" i="163"/>
  <c r="I51" i="163"/>
  <c r="H51" i="163"/>
  <c r="G51" i="163"/>
  <c r="F51" i="163"/>
  <c r="O50" i="163"/>
  <c r="N50" i="163"/>
  <c r="M50" i="163"/>
  <c r="L50" i="163"/>
  <c r="K50" i="163"/>
  <c r="J50" i="163"/>
  <c r="I50" i="163"/>
  <c r="H50" i="163"/>
  <c r="G50" i="163"/>
  <c r="F50" i="163"/>
  <c r="O49" i="163"/>
  <c r="N49" i="163"/>
  <c r="M49" i="163"/>
  <c r="L49" i="163"/>
  <c r="K49" i="163"/>
  <c r="J49" i="163"/>
  <c r="I49" i="163"/>
  <c r="H49" i="163"/>
  <c r="G49" i="163"/>
  <c r="F49" i="163"/>
  <c r="O46" i="163"/>
  <c r="N46" i="163"/>
  <c r="M46" i="163"/>
  <c r="L46" i="163"/>
  <c r="K46" i="163"/>
  <c r="J46" i="163"/>
  <c r="I46" i="163"/>
  <c r="H46" i="163"/>
  <c r="G46" i="163"/>
  <c r="F46" i="163"/>
  <c r="O43" i="163"/>
  <c r="N43" i="163"/>
  <c r="M43" i="163"/>
  <c r="L43" i="163"/>
  <c r="K43" i="163"/>
  <c r="J43" i="163"/>
  <c r="I43" i="163"/>
  <c r="H43" i="163"/>
  <c r="F43" i="163"/>
  <c r="O40" i="163"/>
  <c r="N40" i="163"/>
  <c r="M40" i="163"/>
  <c r="L40" i="163"/>
  <c r="K40" i="163"/>
  <c r="J40" i="163"/>
  <c r="I40" i="163"/>
  <c r="H40" i="163"/>
  <c r="G40" i="163"/>
  <c r="F40" i="163"/>
  <c r="O92" i="162"/>
  <c r="O92" i="162" a="1"/>
  <c r="M92" i="162"/>
  <c r="M92" i="162" a="1"/>
  <c r="K92" i="162"/>
  <c r="K92" i="162" a="1"/>
  <c r="I92" i="162"/>
  <c r="I92" i="162" a="1"/>
  <c r="G92" i="162"/>
  <c r="G92" i="162" a="1"/>
  <c r="O91" i="162"/>
  <c r="N91" i="162"/>
  <c r="M91" i="162"/>
  <c r="L91" i="162"/>
  <c r="K91" i="162"/>
  <c r="J91" i="162"/>
  <c r="I91" i="162"/>
  <c r="H91" i="162"/>
  <c r="G91" i="162"/>
  <c r="F91" i="162"/>
  <c r="O90" i="162"/>
  <c r="N90" i="162"/>
  <c r="M90" i="162"/>
  <c r="L90" i="162"/>
  <c r="K90" i="162"/>
  <c r="J90" i="162"/>
  <c r="I90" i="162"/>
  <c r="H90" i="162"/>
  <c r="G90" i="162"/>
  <c r="F90" i="162"/>
  <c r="O89" i="162"/>
  <c r="N89" i="162"/>
  <c r="M89" i="162"/>
  <c r="L89" i="162"/>
  <c r="K89" i="162"/>
  <c r="J89" i="162"/>
  <c r="I89" i="162"/>
  <c r="H89" i="162"/>
  <c r="G89" i="162"/>
  <c r="F89" i="162"/>
  <c r="O88" i="162"/>
  <c r="N88" i="162"/>
  <c r="M88" i="162"/>
  <c r="L88" i="162"/>
  <c r="K88" i="162"/>
  <c r="J88" i="162"/>
  <c r="I88" i="162"/>
  <c r="H88" i="162"/>
  <c r="G88" i="162"/>
  <c r="F88" i="162"/>
  <c r="O87" i="162"/>
  <c r="N87" i="162"/>
  <c r="M87" i="162"/>
  <c r="L87" i="162"/>
  <c r="K87" i="162"/>
  <c r="J87" i="162"/>
  <c r="I87" i="162"/>
  <c r="H87" i="162"/>
  <c r="G87" i="162"/>
  <c r="F87" i="162"/>
  <c r="O86" i="162"/>
  <c r="N86" i="162"/>
  <c r="M86" i="162"/>
  <c r="L86" i="162"/>
  <c r="K86" i="162"/>
  <c r="J86" i="162"/>
  <c r="I86" i="162"/>
  <c r="H86" i="162"/>
  <c r="G86" i="162"/>
  <c r="F86" i="162"/>
  <c r="O85" i="162"/>
  <c r="N85" i="162"/>
  <c r="M85" i="162"/>
  <c r="L85" i="162"/>
  <c r="K85" i="162"/>
  <c r="J85" i="162"/>
  <c r="I85" i="162"/>
  <c r="H85" i="162"/>
  <c r="G85" i="162"/>
  <c r="F85" i="162"/>
  <c r="O84" i="162"/>
  <c r="N84" i="162"/>
  <c r="M84" i="162"/>
  <c r="L84" i="162"/>
  <c r="K84" i="162"/>
  <c r="J84" i="162"/>
  <c r="I84" i="162"/>
  <c r="H84" i="162"/>
  <c r="G84" i="162"/>
  <c r="F84" i="162"/>
  <c r="O83" i="162"/>
  <c r="N83" i="162"/>
  <c r="M83" i="162"/>
  <c r="L83" i="162"/>
  <c r="K83" i="162"/>
  <c r="J83" i="162"/>
  <c r="I83" i="162"/>
  <c r="H83" i="162"/>
  <c r="G83" i="162"/>
  <c r="F83" i="162"/>
  <c r="O82" i="162"/>
  <c r="N82" i="162"/>
  <c r="M82" i="162"/>
  <c r="L82" i="162"/>
  <c r="K82" i="162"/>
  <c r="J82" i="162"/>
  <c r="I82" i="162"/>
  <c r="H82" i="162"/>
  <c r="G82" i="162"/>
  <c r="F82" i="162"/>
  <c r="O81" i="162"/>
  <c r="N81" i="162"/>
  <c r="M81" i="162"/>
  <c r="L81" i="162"/>
  <c r="K81" i="162"/>
  <c r="J81" i="162"/>
  <c r="I81" i="162"/>
  <c r="H81" i="162"/>
  <c r="G81" i="162"/>
  <c r="F81" i="162"/>
  <c r="O80" i="162"/>
  <c r="N80" i="162"/>
  <c r="M80" i="162"/>
  <c r="L80" i="162"/>
  <c r="K80" i="162"/>
  <c r="J80" i="162"/>
  <c r="I80" i="162"/>
  <c r="H80" i="162"/>
  <c r="G80" i="162"/>
  <c r="F80" i="162"/>
  <c r="O79" i="162"/>
  <c r="N79" i="162"/>
  <c r="M79" i="162"/>
  <c r="L79" i="162"/>
  <c r="K79" i="162"/>
  <c r="J79" i="162"/>
  <c r="I79" i="162"/>
  <c r="H79" i="162"/>
  <c r="G79" i="162"/>
  <c r="F79" i="162"/>
  <c r="O78" i="162"/>
  <c r="N78" i="162"/>
  <c r="M78" i="162"/>
  <c r="L78" i="162"/>
  <c r="K78" i="162"/>
  <c r="J78" i="162"/>
  <c r="I78" i="162"/>
  <c r="H78" i="162"/>
  <c r="G78" i="162"/>
  <c r="F78" i="162"/>
  <c r="O77" i="162"/>
  <c r="N77" i="162"/>
  <c r="M77" i="162"/>
  <c r="L77" i="162"/>
  <c r="K77" i="162"/>
  <c r="J77" i="162"/>
  <c r="I77" i="162"/>
  <c r="H77" i="162"/>
  <c r="G77" i="162"/>
  <c r="F77" i="162"/>
  <c r="O76" i="162"/>
  <c r="N76" i="162"/>
  <c r="M76" i="162"/>
  <c r="L76" i="162"/>
  <c r="K76" i="162"/>
  <c r="J76" i="162"/>
  <c r="I76" i="162"/>
  <c r="H76" i="162"/>
  <c r="G76" i="162"/>
  <c r="F76" i="162"/>
  <c r="O75" i="162"/>
  <c r="N75" i="162"/>
  <c r="M75" i="162"/>
  <c r="L75" i="162"/>
  <c r="K75" i="162"/>
  <c r="J75" i="162"/>
  <c r="I75" i="162"/>
  <c r="H75" i="162"/>
  <c r="G75" i="162"/>
  <c r="F75" i="162"/>
  <c r="O74" i="162"/>
  <c r="N74" i="162"/>
  <c r="M74" i="162"/>
  <c r="L74" i="162"/>
  <c r="K74" i="162"/>
  <c r="J74" i="162"/>
  <c r="I74" i="162"/>
  <c r="H74" i="162"/>
  <c r="G74" i="162"/>
  <c r="F74" i="162"/>
  <c r="O73" i="162"/>
  <c r="N73" i="162"/>
  <c r="M73" i="162"/>
  <c r="L73" i="162"/>
  <c r="K73" i="162"/>
  <c r="J73" i="162"/>
  <c r="I73" i="162"/>
  <c r="H73" i="162"/>
  <c r="G73" i="162"/>
  <c r="F73" i="162"/>
  <c r="O72" i="162"/>
  <c r="N72" i="162"/>
  <c r="M72" i="162"/>
  <c r="L72" i="162"/>
  <c r="K72" i="162"/>
  <c r="J72" i="162"/>
  <c r="I72" i="162"/>
  <c r="H72" i="162"/>
  <c r="G72" i="162"/>
  <c r="F72" i="162"/>
  <c r="O71" i="162"/>
  <c r="N71" i="162"/>
  <c r="M71" i="162"/>
  <c r="L71" i="162"/>
  <c r="K71" i="162"/>
  <c r="J71" i="162"/>
  <c r="I71" i="162"/>
  <c r="H71" i="162"/>
  <c r="G71" i="162"/>
  <c r="F71" i="162"/>
  <c r="O70" i="162"/>
  <c r="N70" i="162"/>
  <c r="M70" i="162"/>
  <c r="L70" i="162"/>
  <c r="K70" i="162"/>
  <c r="J70" i="162"/>
  <c r="I70" i="162"/>
  <c r="H70" i="162"/>
  <c r="G70" i="162"/>
  <c r="F70" i="162"/>
  <c r="O69" i="162"/>
  <c r="N69" i="162"/>
  <c r="M69" i="162"/>
  <c r="L69" i="162"/>
  <c r="K69" i="162"/>
  <c r="J69" i="162"/>
  <c r="I69" i="162"/>
  <c r="H69" i="162"/>
  <c r="G69" i="162"/>
  <c r="F69" i="162"/>
  <c r="O68" i="162"/>
  <c r="N68" i="162"/>
  <c r="M68" i="162"/>
  <c r="L68" i="162"/>
  <c r="K68" i="162"/>
  <c r="J68" i="162"/>
  <c r="I68" i="162"/>
  <c r="H68" i="162"/>
  <c r="G68" i="162"/>
  <c r="F68" i="162"/>
  <c r="O67" i="162"/>
  <c r="N67" i="162"/>
  <c r="M67" i="162"/>
  <c r="L67" i="162"/>
  <c r="K67" i="162"/>
  <c r="J67" i="162"/>
  <c r="I67" i="162"/>
  <c r="H67" i="162"/>
  <c r="G67" i="162"/>
  <c r="F67" i="162"/>
  <c r="O66" i="162"/>
  <c r="N66" i="162"/>
  <c r="M66" i="162"/>
  <c r="L66" i="162"/>
  <c r="K66" i="162"/>
  <c r="J66" i="162"/>
  <c r="I66" i="162"/>
  <c r="H66" i="162"/>
  <c r="G66" i="162"/>
  <c r="F66" i="162"/>
  <c r="O65" i="162"/>
  <c r="N65" i="162"/>
  <c r="M65" i="162"/>
  <c r="L65" i="162"/>
  <c r="K65" i="162"/>
  <c r="J65" i="162"/>
  <c r="I65" i="162"/>
  <c r="H65" i="162"/>
  <c r="G65" i="162"/>
  <c r="F65" i="162"/>
  <c r="O64" i="162"/>
  <c r="N64" i="162"/>
  <c r="M64" i="162"/>
  <c r="L64" i="162"/>
  <c r="K64" i="162"/>
  <c r="J64" i="162"/>
  <c r="I64" i="162"/>
  <c r="H64" i="162"/>
  <c r="G64" i="162"/>
  <c r="F64" i="162"/>
  <c r="O63" i="162"/>
  <c r="N63" i="162"/>
  <c r="M63" i="162"/>
  <c r="L63" i="162"/>
  <c r="K63" i="162"/>
  <c r="J63" i="162"/>
  <c r="I63" i="162"/>
  <c r="H63" i="162"/>
  <c r="G63" i="162"/>
  <c r="F63" i="162"/>
  <c r="O62" i="162"/>
  <c r="N62" i="162"/>
  <c r="M62" i="162"/>
  <c r="L62" i="162"/>
  <c r="K62" i="162"/>
  <c r="J62" i="162"/>
  <c r="I62" i="162"/>
  <c r="H62" i="162"/>
  <c r="G62" i="162"/>
  <c r="F62" i="162"/>
  <c r="O61" i="162"/>
  <c r="N61" i="162"/>
  <c r="M61" i="162"/>
  <c r="L61" i="162"/>
  <c r="K61" i="162"/>
  <c r="J61" i="162"/>
  <c r="I61" i="162"/>
  <c r="H61" i="162"/>
  <c r="G61" i="162"/>
  <c r="F61" i="162"/>
  <c r="O60" i="162"/>
  <c r="N60" i="162"/>
  <c r="M60" i="162"/>
  <c r="L60" i="162"/>
  <c r="K60" i="162"/>
  <c r="J60" i="162"/>
  <c r="I60" i="162"/>
  <c r="H60" i="162"/>
  <c r="G60" i="162"/>
  <c r="F60" i="162"/>
  <c r="O59" i="162"/>
  <c r="N59" i="162"/>
  <c r="M59" i="162"/>
  <c r="L59" i="162"/>
  <c r="K59" i="162"/>
  <c r="J59" i="162"/>
  <c r="I59" i="162"/>
  <c r="H59" i="162"/>
  <c r="G59" i="162"/>
  <c r="F59" i="162"/>
  <c r="O58" i="162"/>
  <c r="N58" i="162"/>
  <c r="M58" i="162"/>
  <c r="L58" i="162"/>
  <c r="K58" i="162"/>
  <c r="J58" i="162"/>
  <c r="I58" i="162"/>
  <c r="H58" i="162"/>
  <c r="G58" i="162"/>
  <c r="F58" i="162"/>
  <c r="O57" i="162"/>
  <c r="N57" i="162"/>
  <c r="M57" i="162"/>
  <c r="L57" i="162"/>
  <c r="K57" i="162"/>
  <c r="J57" i="162"/>
  <c r="I57" i="162"/>
  <c r="H57" i="162"/>
  <c r="G57" i="162"/>
  <c r="F57" i="162"/>
  <c r="O56" i="162"/>
  <c r="N56" i="162"/>
  <c r="M56" i="162"/>
  <c r="L56" i="162"/>
  <c r="K56" i="162"/>
  <c r="J56" i="162"/>
  <c r="I56" i="162"/>
  <c r="H56" i="162"/>
  <c r="G56" i="162"/>
  <c r="F56" i="162"/>
  <c r="O55" i="162"/>
  <c r="N55" i="162"/>
  <c r="M55" i="162"/>
  <c r="L55" i="162"/>
  <c r="K55" i="162"/>
  <c r="J55" i="162"/>
  <c r="I55" i="162"/>
  <c r="H55" i="162"/>
  <c r="G55" i="162"/>
  <c r="F55" i="162"/>
  <c r="O54" i="162"/>
  <c r="N54" i="162"/>
  <c r="M54" i="162"/>
  <c r="L54" i="162"/>
  <c r="K54" i="162"/>
  <c r="J54" i="162"/>
  <c r="I54" i="162"/>
  <c r="H54" i="162"/>
  <c r="G54" i="162"/>
  <c r="F54" i="162"/>
  <c r="O53" i="162"/>
  <c r="N53" i="162"/>
  <c r="M53" i="162"/>
  <c r="L53" i="162"/>
  <c r="K53" i="162"/>
  <c r="J53" i="162"/>
  <c r="I53" i="162"/>
  <c r="H53" i="162"/>
  <c r="G53" i="162"/>
  <c r="F53" i="162"/>
  <c r="O52" i="162"/>
  <c r="N52" i="162"/>
  <c r="M52" i="162"/>
  <c r="L52" i="162"/>
  <c r="K52" i="162"/>
  <c r="J52" i="162"/>
  <c r="I52" i="162"/>
  <c r="H52" i="162"/>
  <c r="G52" i="162"/>
  <c r="F52" i="162"/>
  <c r="O51" i="162"/>
  <c r="N51" i="162"/>
  <c r="M51" i="162"/>
  <c r="L51" i="162"/>
  <c r="K51" i="162"/>
  <c r="J51" i="162"/>
  <c r="I51" i="162"/>
  <c r="H51" i="162"/>
  <c r="G51" i="162"/>
  <c r="F51" i="162"/>
  <c r="O50" i="162"/>
  <c r="N50" i="162"/>
  <c r="M50" i="162"/>
  <c r="L50" i="162"/>
  <c r="K50" i="162"/>
  <c r="J50" i="162"/>
  <c r="I50" i="162"/>
  <c r="H50" i="162"/>
  <c r="G50" i="162"/>
  <c r="F50" i="162"/>
  <c r="O49" i="162"/>
  <c r="N49" i="162"/>
  <c r="M49" i="162"/>
  <c r="L49" i="162"/>
  <c r="K49" i="162"/>
  <c r="J49" i="162"/>
  <c r="I49" i="162"/>
  <c r="H49" i="162"/>
  <c r="G49" i="162"/>
  <c r="F49" i="162"/>
  <c r="O46" i="162"/>
  <c r="N46" i="162"/>
  <c r="M46" i="162"/>
  <c r="L46" i="162"/>
  <c r="K46" i="162"/>
  <c r="J46" i="162"/>
  <c r="I46" i="162"/>
  <c r="H46" i="162"/>
  <c r="G46" i="162"/>
  <c r="F46" i="162"/>
  <c r="O43" i="162"/>
  <c r="N43" i="162"/>
  <c r="M43" i="162"/>
  <c r="L43" i="162"/>
  <c r="K43" i="162"/>
  <c r="J43" i="162"/>
  <c r="I43" i="162"/>
  <c r="H43" i="162"/>
  <c r="G43" i="162"/>
  <c r="F43" i="162"/>
  <c r="O40" i="162"/>
  <c r="N40" i="162"/>
  <c r="M40" i="162"/>
  <c r="L40" i="162"/>
  <c r="K40" i="162"/>
  <c r="J40" i="162"/>
  <c r="I40" i="162"/>
  <c r="H40" i="162"/>
  <c r="G40" i="162"/>
  <c r="F40" i="162"/>
  <c r="O93" i="136"/>
  <c r="O93" i="136" a="1"/>
  <c r="M93" i="136"/>
  <c r="M93" i="136" a="1"/>
  <c r="K93" i="136"/>
  <c r="K93" i="136" a="1"/>
  <c r="I93" i="136"/>
  <c r="I93" i="136" a="1"/>
  <c r="G93" i="136"/>
  <c r="G93" i="136" a="1"/>
  <c r="O92" i="136"/>
  <c r="N92" i="136"/>
  <c r="M92" i="136"/>
  <c r="L92" i="136"/>
  <c r="K92" i="136"/>
  <c r="J92" i="136"/>
  <c r="I92" i="136"/>
  <c r="H92" i="136"/>
  <c r="G92" i="136"/>
  <c r="F92" i="136"/>
  <c r="O91" i="136"/>
  <c r="N91" i="136"/>
  <c r="M91" i="136"/>
  <c r="L91" i="136"/>
  <c r="K91" i="136"/>
  <c r="J91" i="136"/>
  <c r="I91" i="136"/>
  <c r="H91" i="136"/>
  <c r="G91" i="136"/>
  <c r="F91" i="136"/>
  <c r="O90" i="136"/>
  <c r="N90" i="136"/>
  <c r="M90" i="136"/>
  <c r="L90" i="136"/>
  <c r="K90" i="136"/>
  <c r="J90" i="136"/>
  <c r="I90" i="136"/>
  <c r="H90" i="136"/>
  <c r="G90" i="136"/>
  <c r="F90" i="136"/>
  <c r="O89" i="136"/>
  <c r="N89" i="136"/>
  <c r="M89" i="136"/>
  <c r="L89" i="136"/>
  <c r="K89" i="136"/>
  <c r="J89" i="136"/>
  <c r="I89" i="136"/>
  <c r="H89" i="136"/>
  <c r="G89" i="136"/>
  <c r="F89" i="136"/>
  <c r="O88" i="136"/>
  <c r="N88" i="136"/>
  <c r="M88" i="136"/>
  <c r="L88" i="136"/>
  <c r="K88" i="136"/>
  <c r="J88" i="136"/>
  <c r="I88" i="136"/>
  <c r="H88" i="136"/>
  <c r="G88" i="136"/>
  <c r="F88" i="136"/>
  <c r="O87" i="136"/>
  <c r="N87" i="136"/>
  <c r="M87" i="136"/>
  <c r="L87" i="136"/>
  <c r="K87" i="136"/>
  <c r="J87" i="136"/>
  <c r="I87" i="136"/>
  <c r="H87" i="136"/>
  <c r="G87" i="136"/>
  <c r="F87" i="136"/>
  <c r="O86" i="136"/>
  <c r="N86" i="136"/>
  <c r="M86" i="136"/>
  <c r="L86" i="136"/>
  <c r="K86" i="136"/>
  <c r="J86" i="136"/>
  <c r="I86" i="136"/>
  <c r="H86" i="136"/>
  <c r="G86" i="136"/>
  <c r="F86" i="136"/>
  <c r="O85" i="136"/>
  <c r="N85" i="136"/>
  <c r="M85" i="136"/>
  <c r="L85" i="136"/>
  <c r="K85" i="136"/>
  <c r="J85" i="136"/>
  <c r="I85" i="136"/>
  <c r="H85" i="136"/>
  <c r="G85" i="136"/>
  <c r="F85" i="136"/>
  <c r="O84" i="136"/>
  <c r="N84" i="136"/>
  <c r="M84" i="136"/>
  <c r="L84" i="136"/>
  <c r="K84" i="136"/>
  <c r="J84" i="136"/>
  <c r="I84" i="136"/>
  <c r="H84" i="136"/>
  <c r="G84" i="136"/>
  <c r="F84" i="136"/>
  <c r="O83" i="136"/>
  <c r="N83" i="136"/>
  <c r="M83" i="136"/>
  <c r="L83" i="136"/>
  <c r="K83" i="136"/>
  <c r="J83" i="136"/>
  <c r="I83" i="136"/>
  <c r="H83" i="136"/>
  <c r="G83" i="136"/>
  <c r="F83" i="136"/>
  <c r="O82" i="136"/>
  <c r="N82" i="136"/>
  <c r="M82" i="136"/>
  <c r="L82" i="136"/>
  <c r="K82" i="136"/>
  <c r="J82" i="136"/>
  <c r="I82" i="136"/>
  <c r="H82" i="136"/>
  <c r="G82" i="136"/>
  <c r="F82" i="136"/>
  <c r="O81" i="136"/>
  <c r="N81" i="136"/>
  <c r="M81" i="136"/>
  <c r="L81" i="136"/>
  <c r="K81" i="136"/>
  <c r="J81" i="136"/>
  <c r="I81" i="136"/>
  <c r="H81" i="136"/>
  <c r="G81" i="136"/>
  <c r="F81" i="136"/>
  <c r="O80" i="136"/>
  <c r="N80" i="136"/>
  <c r="M80" i="136"/>
  <c r="L80" i="136"/>
  <c r="K80" i="136"/>
  <c r="J80" i="136"/>
  <c r="I80" i="136"/>
  <c r="H80" i="136"/>
  <c r="G80" i="136"/>
  <c r="F80" i="136"/>
  <c r="O79" i="136"/>
  <c r="N79" i="136"/>
  <c r="M79" i="136"/>
  <c r="L79" i="136"/>
  <c r="K79" i="136"/>
  <c r="J79" i="136"/>
  <c r="I79" i="136"/>
  <c r="H79" i="136"/>
  <c r="G79" i="136"/>
  <c r="F79" i="136"/>
  <c r="O78" i="136"/>
  <c r="N78" i="136"/>
  <c r="M78" i="136"/>
  <c r="L78" i="136"/>
  <c r="K78" i="136"/>
  <c r="J78" i="136"/>
  <c r="I78" i="136"/>
  <c r="H78" i="136"/>
  <c r="G78" i="136"/>
  <c r="F78" i="136"/>
  <c r="O77" i="136"/>
  <c r="N77" i="136"/>
  <c r="M77" i="136"/>
  <c r="L77" i="136"/>
  <c r="K77" i="136"/>
  <c r="J77" i="136"/>
  <c r="I77" i="136"/>
  <c r="H77" i="136"/>
  <c r="G77" i="136"/>
  <c r="F77" i="136"/>
  <c r="O76" i="136"/>
  <c r="N76" i="136"/>
  <c r="M76" i="136"/>
  <c r="L76" i="136"/>
  <c r="K76" i="136"/>
  <c r="J76" i="136"/>
  <c r="I76" i="136"/>
  <c r="H76" i="136"/>
  <c r="G76" i="136"/>
  <c r="F76" i="136"/>
  <c r="O75" i="136"/>
  <c r="N75" i="136"/>
  <c r="M75" i="136"/>
  <c r="L75" i="136"/>
  <c r="K75" i="136"/>
  <c r="J75" i="136"/>
  <c r="I75" i="136"/>
  <c r="H75" i="136"/>
  <c r="G75" i="136"/>
  <c r="F75" i="136"/>
  <c r="O74" i="136"/>
  <c r="N74" i="136"/>
  <c r="M74" i="136"/>
  <c r="L74" i="136"/>
  <c r="K74" i="136"/>
  <c r="J74" i="136"/>
  <c r="I74" i="136"/>
  <c r="H74" i="136"/>
  <c r="G74" i="136"/>
  <c r="F74" i="136"/>
  <c r="O73" i="136"/>
  <c r="N73" i="136"/>
  <c r="M73" i="136"/>
  <c r="L73" i="136"/>
  <c r="K73" i="136"/>
  <c r="J73" i="136"/>
  <c r="I73" i="136"/>
  <c r="H73" i="136"/>
  <c r="G73" i="136"/>
  <c r="F73" i="136"/>
  <c r="O72" i="136"/>
  <c r="N72" i="136"/>
  <c r="M72" i="136"/>
  <c r="L72" i="136"/>
  <c r="K72" i="136"/>
  <c r="J72" i="136"/>
  <c r="I72" i="136"/>
  <c r="H72" i="136"/>
  <c r="G72" i="136"/>
  <c r="F72" i="136"/>
  <c r="O71" i="136"/>
  <c r="N71" i="136"/>
  <c r="M71" i="136"/>
  <c r="L71" i="136"/>
  <c r="K71" i="136"/>
  <c r="J71" i="136"/>
  <c r="I71" i="136"/>
  <c r="H71" i="136"/>
  <c r="G71" i="136"/>
  <c r="F71" i="136"/>
  <c r="O70" i="136"/>
  <c r="N70" i="136"/>
  <c r="M70" i="136"/>
  <c r="L70" i="136"/>
  <c r="K70" i="136"/>
  <c r="J70" i="136"/>
  <c r="I70" i="136"/>
  <c r="H70" i="136"/>
  <c r="G70" i="136"/>
  <c r="F70" i="136"/>
  <c r="O69" i="136"/>
  <c r="N69" i="136"/>
  <c r="M69" i="136"/>
  <c r="L69" i="136"/>
  <c r="K69" i="136"/>
  <c r="J69" i="136"/>
  <c r="I69" i="136"/>
  <c r="H69" i="136"/>
  <c r="G69" i="136"/>
  <c r="F69" i="136"/>
  <c r="O68" i="136"/>
  <c r="N68" i="136"/>
  <c r="M68" i="136"/>
  <c r="L68" i="136"/>
  <c r="K68" i="136"/>
  <c r="J68" i="136"/>
  <c r="I68" i="136"/>
  <c r="H68" i="136"/>
  <c r="G68" i="136"/>
  <c r="F68" i="136"/>
  <c r="O67" i="136"/>
  <c r="N67" i="136"/>
  <c r="M67" i="136"/>
  <c r="L67" i="136"/>
  <c r="K67" i="136"/>
  <c r="J67" i="136"/>
  <c r="I67" i="136"/>
  <c r="H67" i="136"/>
  <c r="G67" i="136"/>
  <c r="F67" i="136"/>
  <c r="O66" i="136"/>
  <c r="N66" i="136"/>
  <c r="M66" i="136"/>
  <c r="L66" i="136"/>
  <c r="K66" i="136"/>
  <c r="J66" i="136"/>
  <c r="I66" i="136"/>
  <c r="H66" i="136"/>
  <c r="G66" i="136"/>
  <c r="F66" i="136"/>
  <c r="O65" i="136"/>
  <c r="N65" i="136"/>
  <c r="M65" i="136"/>
  <c r="L65" i="136"/>
  <c r="K65" i="136"/>
  <c r="J65" i="136"/>
  <c r="I65" i="136"/>
  <c r="H65" i="136"/>
  <c r="G65" i="136"/>
  <c r="F65" i="136"/>
  <c r="O64" i="136"/>
  <c r="N64" i="136"/>
  <c r="M64" i="136"/>
  <c r="L64" i="136"/>
  <c r="K64" i="136"/>
  <c r="J64" i="136"/>
  <c r="I64" i="136"/>
  <c r="H64" i="136"/>
  <c r="G64" i="136"/>
  <c r="F64" i="136"/>
  <c r="O63" i="136"/>
  <c r="N63" i="136"/>
  <c r="M63" i="136"/>
  <c r="L63" i="136"/>
  <c r="K63" i="136"/>
  <c r="J63" i="136"/>
  <c r="I63" i="136"/>
  <c r="H63" i="136"/>
  <c r="G63" i="136"/>
  <c r="F63" i="136"/>
  <c r="O62" i="136"/>
  <c r="N62" i="136"/>
  <c r="M62" i="136"/>
  <c r="L62" i="136"/>
  <c r="K62" i="136"/>
  <c r="J62" i="136"/>
  <c r="I62" i="136"/>
  <c r="H62" i="136"/>
  <c r="G62" i="136"/>
  <c r="F62" i="136"/>
  <c r="O61" i="136"/>
  <c r="N61" i="136"/>
  <c r="M61" i="136"/>
  <c r="L61" i="136"/>
  <c r="K61" i="136"/>
  <c r="J61" i="136"/>
  <c r="I61" i="136"/>
  <c r="H61" i="136"/>
  <c r="G61" i="136"/>
  <c r="F61" i="136"/>
  <c r="O60" i="136"/>
  <c r="N60" i="136"/>
  <c r="M60" i="136"/>
  <c r="L60" i="136"/>
  <c r="K60" i="136"/>
  <c r="J60" i="136"/>
  <c r="I60" i="136"/>
  <c r="H60" i="136"/>
  <c r="G60" i="136"/>
  <c r="F60" i="136"/>
  <c r="O59" i="136"/>
  <c r="N59" i="136"/>
  <c r="M59" i="136"/>
  <c r="L59" i="136"/>
  <c r="K59" i="136"/>
  <c r="J59" i="136"/>
  <c r="I59" i="136"/>
  <c r="H59" i="136"/>
  <c r="G59" i="136"/>
  <c r="F59" i="136"/>
  <c r="O58" i="136"/>
  <c r="N58" i="136"/>
  <c r="M58" i="136"/>
  <c r="L58" i="136"/>
  <c r="K58" i="136"/>
  <c r="J58" i="136"/>
  <c r="I58" i="136"/>
  <c r="H58" i="136"/>
  <c r="G58" i="136"/>
  <c r="F58" i="136"/>
  <c r="O57" i="136"/>
  <c r="N57" i="136"/>
  <c r="M57" i="136"/>
  <c r="L57" i="136"/>
  <c r="K57" i="136"/>
  <c r="J57" i="136"/>
  <c r="I57" i="136"/>
  <c r="H57" i="136"/>
  <c r="G57" i="136"/>
  <c r="F57" i="136"/>
  <c r="O56" i="136"/>
  <c r="N56" i="136"/>
  <c r="M56" i="136"/>
  <c r="L56" i="136"/>
  <c r="K56" i="136"/>
  <c r="J56" i="136"/>
  <c r="I56" i="136"/>
  <c r="H56" i="136"/>
  <c r="G56" i="136"/>
  <c r="F56" i="136"/>
  <c r="O55" i="136"/>
  <c r="N55" i="136"/>
  <c r="M55" i="136"/>
  <c r="L55" i="136"/>
  <c r="K55" i="136"/>
  <c r="J55" i="136"/>
  <c r="I55" i="136"/>
  <c r="H55" i="136"/>
  <c r="G55" i="136"/>
  <c r="F55" i="136"/>
  <c r="O54" i="136"/>
  <c r="N54" i="136"/>
  <c r="M54" i="136"/>
  <c r="L54" i="136"/>
  <c r="K54" i="136"/>
  <c r="J54" i="136"/>
  <c r="I54" i="136"/>
  <c r="H54" i="136"/>
  <c r="G54" i="136"/>
  <c r="F54" i="136"/>
  <c r="O53" i="136"/>
  <c r="N53" i="136"/>
  <c r="M53" i="136"/>
  <c r="L53" i="136"/>
  <c r="K53" i="136"/>
  <c r="J53" i="136"/>
  <c r="I53" i="136"/>
  <c r="H53" i="136"/>
  <c r="G53" i="136"/>
  <c r="F53" i="136"/>
  <c r="O52" i="136"/>
  <c r="N52" i="136"/>
  <c r="M52" i="136"/>
  <c r="L52" i="136"/>
  <c r="K52" i="136"/>
  <c r="J52" i="136"/>
  <c r="I52" i="136"/>
  <c r="H52" i="136"/>
  <c r="G52" i="136"/>
  <c r="F52" i="136"/>
  <c r="O51" i="136"/>
  <c r="N51" i="136"/>
  <c r="M51" i="136"/>
  <c r="L51" i="136"/>
  <c r="K51" i="136"/>
  <c r="J51" i="136"/>
  <c r="I51" i="136"/>
  <c r="H51" i="136"/>
  <c r="G51" i="136"/>
  <c r="F51" i="136"/>
  <c r="O50" i="136"/>
  <c r="N50" i="136"/>
  <c r="M50" i="136"/>
  <c r="L50" i="136"/>
  <c r="K50" i="136"/>
  <c r="J50" i="136"/>
  <c r="I50" i="136"/>
  <c r="H50" i="136"/>
  <c r="G50" i="136"/>
  <c r="F50" i="136"/>
  <c r="O49" i="136"/>
  <c r="N49" i="136"/>
  <c r="M49" i="136"/>
  <c r="L49" i="136"/>
  <c r="K49" i="136"/>
  <c r="J49" i="136"/>
  <c r="I49" i="136"/>
  <c r="H49" i="136"/>
  <c r="G49" i="136"/>
  <c r="F49" i="136"/>
  <c r="O48" i="136"/>
  <c r="N48" i="136"/>
  <c r="M48" i="136"/>
  <c r="L48" i="136"/>
  <c r="K48" i="136"/>
  <c r="J48" i="136"/>
  <c r="I48" i="136"/>
  <c r="H48" i="136"/>
  <c r="G48" i="136"/>
  <c r="F48" i="136"/>
  <c r="O45" i="136"/>
  <c r="N45" i="136"/>
  <c r="M45" i="136"/>
  <c r="L45" i="136"/>
  <c r="K45" i="136"/>
  <c r="J45" i="136"/>
  <c r="I45" i="136"/>
  <c r="H45" i="136"/>
  <c r="G45" i="136"/>
  <c r="F45" i="136"/>
  <c r="O42" i="136"/>
  <c r="N42" i="136"/>
  <c r="M42" i="136"/>
  <c r="L42" i="136"/>
  <c r="K42" i="136"/>
  <c r="J42" i="136"/>
  <c r="I42" i="136"/>
  <c r="H42" i="136"/>
  <c r="G42" i="136"/>
  <c r="F42" i="136"/>
  <c r="O39" i="136"/>
  <c r="N39" i="136"/>
  <c r="M39" i="136"/>
  <c r="L39" i="136"/>
  <c r="K39" i="136"/>
  <c r="J39" i="136"/>
  <c r="I39" i="136"/>
  <c r="H39" i="136"/>
  <c r="G39" i="136"/>
  <c r="F39" i="136"/>
  <c r="O101" i="161"/>
  <c r="O101" i="161" a="1"/>
  <c r="M101" i="161"/>
  <c r="M101" i="161" a="1"/>
  <c r="K101" i="161"/>
  <c r="K101" i="161" a="1"/>
  <c r="I101" i="161"/>
  <c r="I101" i="161" a="1"/>
  <c r="G101" i="161"/>
  <c r="G101" i="161" a="1"/>
  <c r="O100" i="161"/>
  <c r="N100" i="161"/>
  <c r="M100" i="161"/>
  <c r="L100" i="161"/>
  <c r="K100" i="161"/>
  <c r="J100" i="161"/>
  <c r="I100" i="161"/>
  <c r="H100" i="161"/>
  <c r="G100" i="161"/>
  <c r="F100" i="161"/>
  <c r="O99" i="161"/>
  <c r="N99" i="161"/>
  <c r="M99" i="161"/>
  <c r="L99" i="161"/>
  <c r="K99" i="161"/>
  <c r="J99" i="161"/>
  <c r="I99" i="161"/>
  <c r="H99" i="161"/>
  <c r="G99" i="161"/>
  <c r="F99" i="161"/>
  <c r="O98" i="161"/>
  <c r="N98" i="161"/>
  <c r="M98" i="161"/>
  <c r="L98" i="161"/>
  <c r="K98" i="161"/>
  <c r="J98" i="161"/>
  <c r="I98" i="161"/>
  <c r="H98" i="161"/>
  <c r="G98" i="161"/>
  <c r="F98" i="161"/>
  <c r="O97" i="161"/>
  <c r="N97" i="161"/>
  <c r="M97" i="161"/>
  <c r="L97" i="161"/>
  <c r="K97" i="161"/>
  <c r="J97" i="161"/>
  <c r="I97" i="161"/>
  <c r="H97" i="161"/>
  <c r="G97" i="161"/>
  <c r="F97" i="161"/>
  <c r="O96" i="161"/>
  <c r="N96" i="161"/>
  <c r="M96" i="161"/>
  <c r="L96" i="161"/>
  <c r="K96" i="161"/>
  <c r="J96" i="161"/>
  <c r="I96" i="161"/>
  <c r="H96" i="161"/>
  <c r="G96" i="161"/>
  <c r="F96" i="161"/>
  <c r="O95" i="161"/>
  <c r="N95" i="161"/>
  <c r="M95" i="161"/>
  <c r="L95" i="161"/>
  <c r="K95" i="161"/>
  <c r="J95" i="161"/>
  <c r="I95" i="161"/>
  <c r="H95" i="161"/>
  <c r="G95" i="161"/>
  <c r="F95" i="161"/>
  <c r="O94" i="161"/>
  <c r="N94" i="161"/>
  <c r="M94" i="161"/>
  <c r="L94" i="161"/>
  <c r="K94" i="161"/>
  <c r="J94" i="161"/>
  <c r="I94" i="161"/>
  <c r="H94" i="161"/>
  <c r="G94" i="161"/>
  <c r="F94" i="161"/>
  <c r="O93" i="161"/>
  <c r="N93" i="161"/>
  <c r="M93" i="161"/>
  <c r="L93" i="161"/>
  <c r="K93" i="161"/>
  <c r="J93" i="161"/>
  <c r="I93" i="161"/>
  <c r="H93" i="161"/>
  <c r="G93" i="161"/>
  <c r="F93" i="161"/>
  <c r="O92" i="161"/>
  <c r="N92" i="161"/>
  <c r="M92" i="161"/>
  <c r="L92" i="161"/>
  <c r="K92" i="161"/>
  <c r="J92" i="161"/>
  <c r="I92" i="161"/>
  <c r="H92" i="161"/>
  <c r="G92" i="161"/>
  <c r="F92" i="161"/>
  <c r="O91" i="161"/>
  <c r="N91" i="161"/>
  <c r="M91" i="161"/>
  <c r="L91" i="161"/>
  <c r="K91" i="161"/>
  <c r="J91" i="161"/>
  <c r="I91" i="161"/>
  <c r="H91" i="161"/>
  <c r="G91" i="161"/>
  <c r="F91" i="161"/>
  <c r="O90" i="161"/>
  <c r="N90" i="161"/>
  <c r="M90" i="161"/>
  <c r="L90" i="161"/>
  <c r="K90" i="161"/>
  <c r="J90" i="161"/>
  <c r="I90" i="161"/>
  <c r="H90" i="161"/>
  <c r="G90" i="161"/>
  <c r="F90" i="161"/>
  <c r="O89" i="161"/>
  <c r="N89" i="161"/>
  <c r="M89" i="161"/>
  <c r="L89" i="161"/>
  <c r="K89" i="161"/>
  <c r="J89" i="161"/>
  <c r="I89" i="161"/>
  <c r="H89" i="161"/>
  <c r="G89" i="161"/>
  <c r="F89" i="161"/>
  <c r="O88" i="161"/>
  <c r="N88" i="161"/>
  <c r="M88" i="161"/>
  <c r="L88" i="161"/>
  <c r="K88" i="161"/>
  <c r="J88" i="161"/>
  <c r="I88" i="161"/>
  <c r="H88" i="161"/>
  <c r="G88" i="161"/>
  <c r="F88" i="161"/>
  <c r="O87" i="161"/>
  <c r="N87" i="161"/>
  <c r="M87" i="161"/>
  <c r="L87" i="161"/>
  <c r="K87" i="161"/>
  <c r="J87" i="161"/>
  <c r="I87" i="161"/>
  <c r="H87" i="161"/>
  <c r="G87" i="161"/>
  <c r="F87" i="161"/>
  <c r="O86" i="161"/>
  <c r="N86" i="161"/>
  <c r="M86" i="161"/>
  <c r="L86" i="161"/>
  <c r="K86" i="161"/>
  <c r="J86" i="161"/>
  <c r="I86" i="161"/>
  <c r="H86" i="161"/>
  <c r="G86" i="161"/>
  <c r="F86" i="161"/>
  <c r="O85" i="161"/>
  <c r="N85" i="161"/>
  <c r="M85" i="161"/>
  <c r="L85" i="161"/>
  <c r="K85" i="161"/>
  <c r="J85" i="161"/>
  <c r="I85" i="161"/>
  <c r="H85" i="161"/>
  <c r="G85" i="161"/>
  <c r="F85" i="161"/>
  <c r="O84" i="161"/>
  <c r="N84" i="161"/>
  <c r="M84" i="161"/>
  <c r="L84" i="161"/>
  <c r="K84" i="161"/>
  <c r="J84" i="161"/>
  <c r="I84" i="161"/>
  <c r="H84" i="161"/>
  <c r="G84" i="161"/>
  <c r="F84" i="161"/>
  <c r="O83" i="161"/>
  <c r="N83" i="161"/>
  <c r="M83" i="161"/>
  <c r="L83" i="161"/>
  <c r="K83" i="161"/>
  <c r="J83" i="161"/>
  <c r="I83" i="161"/>
  <c r="H83" i="161"/>
  <c r="G83" i="161"/>
  <c r="F83" i="161"/>
  <c r="O82" i="161"/>
  <c r="N82" i="161"/>
  <c r="M82" i="161"/>
  <c r="L82" i="161"/>
  <c r="K82" i="161"/>
  <c r="J82" i="161"/>
  <c r="I82" i="161"/>
  <c r="H82" i="161"/>
  <c r="G82" i="161"/>
  <c r="F82" i="161"/>
  <c r="O81" i="161"/>
  <c r="N81" i="161"/>
  <c r="M81" i="161"/>
  <c r="L81" i="161"/>
  <c r="K81" i="161"/>
  <c r="J81" i="161"/>
  <c r="I81" i="161"/>
  <c r="H81" i="161"/>
  <c r="G81" i="161"/>
  <c r="F81" i="161"/>
  <c r="O80" i="161"/>
  <c r="N80" i="161"/>
  <c r="M80" i="161"/>
  <c r="L80" i="161"/>
  <c r="K80" i="161"/>
  <c r="J80" i="161"/>
  <c r="I80" i="161"/>
  <c r="H80" i="161"/>
  <c r="G80" i="161"/>
  <c r="F80" i="161"/>
  <c r="O79" i="161"/>
  <c r="N79" i="161"/>
  <c r="M79" i="161"/>
  <c r="L79" i="161"/>
  <c r="K79" i="161"/>
  <c r="J79" i="161"/>
  <c r="I79" i="161"/>
  <c r="H79" i="161"/>
  <c r="G79" i="161"/>
  <c r="F79" i="161"/>
  <c r="O78" i="161"/>
  <c r="N78" i="161"/>
  <c r="M78" i="161"/>
  <c r="L78" i="161"/>
  <c r="K78" i="161"/>
  <c r="J78" i="161"/>
  <c r="I78" i="161"/>
  <c r="H78" i="161"/>
  <c r="G78" i="161"/>
  <c r="F78" i="161"/>
  <c r="O77" i="161"/>
  <c r="N77" i="161"/>
  <c r="M77" i="161"/>
  <c r="L77" i="161"/>
  <c r="K77" i="161"/>
  <c r="J77" i="161"/>
  <c r="I77" i="161"/>
  <c r="H77" i="161"/>
  <c r="G77" i="161"/>
  <c r="F77" i="161"/>
  <c r="O76" i="161"/>
  <c r="N76" i="161"/>
  <c r="M76" i="161"/>
  <c r="L76" i="161"/>
  <c r="K76" i="161"/>
  <c r="J76" i="161"/>
  <c r="I76" i="161"/>
  <c r="H76" i="161"/>
  <c r="G76" i="161"/>
  <c r="F76" i="161"/>
  <c r="O75" i="161"/>
  <c r="N75" i="161"/>
  <c r="M75" i="161"/>
  <c r="L75" i="161"/>
  <c r="K75" i="161"/>
  <c r="J75" i="161"/>
  <c r="I75" i="161"/>
  <c r="H75" i="161"/>
  <c r="G75" i="161"/>
  <c r="F75" i="161"/>
  <c r="O74" i="161"/>
  <c r="N74" i="161"/>
  <c r="M74" i="161"/>
  <c r="L74" i="161"/>
  <c r="K74" i="161"/>
  <c r="J74" i="161"/>
  <c r="I74" i="161"/>
  <c r="H74" i="161"/>
  <c r="G74" i="161"/>
  <c r="F74" i="161"/>
  <c r="O73" i="161"/>
  <c r="N73" i="161"/>
  <c r="M73" i="161"/>
  <c r="L73" i="161"/>
  <c r="K73" i="161"/>
  <c r="J73" i="161"/>
  <c r="I73" i="161"/>
  <c r="H73" i="161"/>
  <c r="G73" i="161"/>
  <c r="F73" i="161"/>
  <c r="O72" i="161"/>
  <c r="N72" i="161"/>
  <c r="M72" i="161"/>
  <c r="L72" i="161"/>
  <c r="K72" i="161"/>
  <c r="J72" i="161"/>
  <c r="I72" i="161"/>
  <c r="H72" i="161"/>
  <c r="G72" i="161"/>
  <c r="F72" i="161"/>
  <c r="O71" i="161"/>
  <c r="N71" i="161"/>
  <c r="M71" i="161"/>
  <c r="L71" i="161"/>
  <c r="K71" i="161"/>
  <c r="J71" i="161"/>
  <c r="I71" i="161"/>
  <c r="H71" i="161"/>
  <c r="G71" i="161"/>
  <c r="F71" i="161"/>
  <c r="O70" i="161"/>
  <c r="N70" i="161"/>
  <c r="M70" i="161"/>
  <c r="L70" i="161"/>
  <c r="K70" i="161"/>
  <c r="J70" i="161"/>
  <c r="I70" i="161"/>
  <c r="H70" i="161"/>
  <c r="G70" i="161"/>
  <c r="F70" i="161"/>
  <c r="O69" i="161"/>
  <c r="N69" i="161"/>
  <c r="M69" i="161"/>
  <c r="L69" i="161"/>
  <c r="K69" i="161"/>
  <c r="J69" i="161"/>
  <c r="I69" i="161"/>
  <c r="H69" i="161"/>
  <c r="G69" i="161"/>
  <c r="F69" i="161"/>
  <c r="O68" i="161"/>
  <c r="N68" i="161"/>
  <c r="M68" i="161"/>
  <c r="L68" i="161"/>
  <c r="K68" i="161"/>
  <c r="J68" i="161"/>
  <c r="I68" i="161"/>
  <c r="H68" i="161"/>
  <c r="G68" i="161"/>
  <c r="F68" i="161"/>
  <c r="O67" i="161"/>
  <c r="N67" i="161"/>
  <c r="M67" i="161"/>
  <c r="L67" i="161"/>
  <c r="K67" i="161"/>
  <c r="J67" i="161"/>
  <c r="I67" i="161"/>
  <c r="H67" i="161"/>
  <c r="G67" i="161"/>
  <c r="F67" i="161"/>
  <c r="O66" i="161"/>
  <c r="N66" i="161"/>
  <c r="M66" i="161"/>
  <c r="L66" i="161"/>
  <c r="K66" i="161"/>
  <c r="J66" i="161"/>
  <c r="I66" i="161"/>
  <c r="H66" i="161"/>
  <c r="G66" i="161"/>
  <c r="F66" i="161"/>
  <c r="O65" i="161"/>
  <c r="N65" i="161"/>
  <c r="M65" i="161"/>
  <c r="L65" i="161"/>
  <c r="K65" i="161"/>
  <c r="J65" i="161"/>
  <c r="I65" i="161"/>
  <c r="H65" i="161"/>
  <c r="G65" i="161"/>
  <c r="F65" i="161"/>
  <c r="O64" i="161"/>
  <c r="N64" i="161"/>
  <c r="M64" i="161"/>
  <c r="L64" i="161"/>
  <c r="K64" i="161"/>
  <c r="J64" i="161"/>
  <c r="I64" i="161"/>
  <c r="H64" i="161"/>
  <c r="G64" i="161"/>
  <c r="F64" i="161"/>
  <c r="O63" i="161"/>
  <c r="N63" i="161"/>
  <c r="M63" i="161"/>
  <c r="L63" i="161"/>
  <c r="K63" i="161"/>
  <c r="J63" i="161"/>
  <c r="I63" i="161"/>
  <c r="H63" i="161"/>
  <c r="G63" i="161"/>
  <c r="F63" i="161"/>
  <c r="O62" i="161"/>
  <c r="N62" i="161"/>
  <c r="M62" i="161"/>
  <c r="L62" i="161"/>
  <c r="K62" i="161"/>
  <c r="J62" i="161"/>
  <c r="I62" i="161"/>
  <c r="H62" i="161"/>
  <c r="G62" i="161"/>
  <c r="F62" i="161"/>
  <c r="O61" i="161"/>
  <c r="N61" i="161"/>
  <c r="M61" i="161"/>
  <c r="L61" i="161"/>
  <c r="K61" i="161"/>
  <c r="J61" i="161"/>
  <c r="I61" i="161"/>
  <c r="H61" i="161"/>
  <c r="G61" i="161"/>
  <c r="F61" i="161"/>
  <c r="O60" i="161"/>
  <c r="N60" i="161"/>
  <c r="M60" i="161"/>
  <c r="L60" i="161"/>
  <c r="K60" i="161"/>
  <c r="J60" i="161"/>
  <c r="I60" i="161"/>
  <c r="H60" i="161"/>
  <c r="G60" i="161"/>
  <c r="F60" i="161"/>
  <c r="O59" i="161"/>
  <c r="N59" i="161"/>
  <c r="M59" i="161"/>
  <c r="L59" i="161"/>
  <c r="K59" i="161"/>
  <c r="J59" i="161"/>
  <c r="I59" i="161"/>
  <c r="H59" i="161"/>
  <c r="G59" i="161"/>
  <c r="F59" i="161"/>
  <c r="O58" i="161"/>
  <c r="N58" i="161"/>
  <c r="M58" i="161"/>
  <c r="L58" i="161"/>
  <c r="K58" i="161"/>
  <c r="J58" i="161"/>
  <c r="I58" i="161"/>
  <c r="H58" i="161"/>
  <c r="G58" i="161"/>
  <c r="F58" i="161"/>
  <c r="O57" i="161"/>
  <c r="N57" i="161"/>
  <c r="M57" i="161"/>
  <c r="L57" i="161"/>
  <c r="K57" i="161"/>
  <c r="J57" i="161"/>
  <c r="I57" i="161"/>
  <c r="H57" i="161"/>
  <c r="G57" i="161"/>
  <c r="F57" i="161"/>
  <c r="O56" i="161"/>
  <c r="N56" i="161"/>
  <c r="M56" i="161"/>
  <c r="L56" i="161"/>
  <c r="K56" i="161"/>
  <c r="J56" i="161"/>
  <c r="I56" i="161"/>
  <c r="H56" i="161"/>
  <c r="G56" i="161"/>
  <c r="F56" i="161"/>
  <c r="O55" i="161"/>
  <c r="N55" i="161"/>
  <c r="M55" i="161"/>
  <c r="L55" i="161"/>
  <c r="K55" i="161"/>
  <c r="J55" i="161"/>
  <c r="I55" i="161"/>
  <c r="H55" i="161"/>
  <c r="G55" i="161"/>
  <c r="F55" i="161"/>
  <c r="O54" i="161"/>
  <c r="N54" i="161"/>
  <c r="M54" i="161"/>
  <c r="L54" i="161"/>
  <c r="K54" i="161"/>
  <c r="J54" i="161"/>
  <c r="I54" i="161"/>
  <c r="H54" i="161"/>
  <c r="G54" i="161"/>
  <c r="F54" i="161"/>
  <c r="O53" i="161"/>
  <c r="N53" i="161"/>
  <c r="M53" i="161"/>
  <c r="L53" i="161"/>
  <c r="K53" i="161"/>
  <c r="J53" i="161"/>
  <c r="I53" i="161"/>
  <c r="H53" i="161"/>
  <c r="G53" i="161"/>
  <c r="F53" i="161"/>
  <c r="O52" i="161"/>
  <c r="N52" i="161"/>
  <c r="M52" i="161"/>
  <c r="L52" i="161"/>
  <c r="K52" i="161"/>
  <c r="J52" i="161"/>
  <c r="I52" i="161"/>
  <c r="H52" i="161"/>
  <c r="G52" i="161"/>
  <c r="F52" i="161"/>
  <c r="O51" i="161"/>
  <c r="N51" i="161"/>
  <c r="M51" i="161"/>
  <c r="L51" i="161"/>
  <c r="K51" i="161"/>
  <c r="J51" i="161"/>
  <c r="I51" i="161"/>
  <c r="H51" i="161"/>
  <c r="G51" i="161"/>
  <c r="F51" i="161"/>
  <c r="O47" i="161"/>
  <c r="N47" i="161"/>
  <c r="M47" i="161"/>
  <c r="L47" i="161"/>
  <c r="K47" i="161"/>
  <c r="J47" i="161"/>
  <c r="I47" i="161"/>
  <c r="H47" i="161"/>
  <c r="G47" i="161"/>
  <c r="F47" i="161"/>
  <c r="O43" i="161"/>
  <c r="N43" i="161"/>
  <c r="M43" i="161"/>
  <c r="L43" i="161"/>
  <c r="K43" i="161"/>
  <c r="J43" i="161"/>
  <c r="I43" i="161"/>
  <c r="H43" i="161"/>
  <c r="G43" i="161"/>
  <c r="F43" i="161"/>
  <c r="O39" i="161"/>
  <c r="N39" i="161"/>
  <c r="M39" i="161"/>
  <c r="L39" i="161"/>
  <c r="K39" i="161"/>
  <c r="J39" i="161"/>
  <c r="I39" i="161"/>
  <c r="H39" i="161"/>
  <c r="G39" i="161"/>
  <c r="F39" i="161"/>
  <c r="O96" i="46"/>
  <c r="O96" i="46" a="1"/>
  <c r="M96" i="46"/>
  <c r="M96" i="46" a="1"/>
  <c r="K96" i="46"/>
  <c r="K96" i="46" a="1"/>
  <c r="I96" i="46"/>
  <c r="I96" i="46" a="1"/>
  <c r="G96" i="46"/>
  <c r="G96" i="46" a="1"/>
  <c r="O95" i="46"/>
  <c r="N95" i="46"/>
  <c r="M95" i="46"/>
  <c r="L95" i="46"/>
  <c r="K95" i="46"/>
  <c r="J95" i="46"/>
  <c r="I95" i="46"/>
  <c r="H95" i="46"/>
  <c r="G95" i="46"/>
  <c r="F95" i="46"/>
  <c r="O94" i="46"/>
  <c r="N94" i="46"/>
  <c r="M94" i="46"/>
  <c r="L94" i="46"/>
  <c r="K94" i="46"/>
  <c r="J94" i="46"/>
  <c r="I94" i="46"/>
  <c r="H94" i="46"/>
  <c r="G94" i="46"/>
  <c r="F94" i="46"/>
  <c r="O93" i="46"/>
  <c r="N93" i="46"/>
  <c r="M93" i="46"/>
  <c r="L93" i="46"/>
  <c r="K93" i="46"/>
  <c r="J93" i="46"/>
  <c r="I93" i="46"/>
  <c r="H93" i="46"/>
  <c r="G93" i="46"/>
  <c r="F93" i="46"/>
  <c r="O92" i="46"/>
  <c r="N92" i="46"/>
  <c r="M92" i="46"/>
  <c r="L92" i="46"/>
  <c r="K92" i="46"/>
  <c r="J92" i="46"/>
  <c r="I92" i="46"/>
  <c r="H92" i="46"/>
  <c r="G92" i="46"/>
  <c r="F92" i="46"/>
  <c r="O91" i="46"/>
  <c r="N91" i="46"/>
  <c r="M91" i="46"/>
  <c r="L91" i="46"/>
  <c r="K91" i="46"/>
  <c r="J91" i="46"/>
  <c r="I91" i="46"/>
  <c r="H91" i="46"/>
  <c r="G91" i="46"/>
  <c r="F91" i="46"/>
  <c r="O90" i="46"/>
  <c r="N90" i="46"/>
  <c r="M90" i="46"/>
  <c r="L90" i="46"/>
  <c r="K90" i="46"/>
  <c r="J90" i="46"/>
  <c r="I90" i="46"/>
  <c r="H90" i="46"/>
  <c r="G90" i="46"/>
  <c r="F90" i="46"/>
  <c r="O89" i="46"/>
  <c r="N89" i="46"/>
  <c r="M89" i="46"/>
  <c r="L89" i="46"/>
  <c r="K89" i="46"/>
  <c r="J89" i="46"/>
  <c r="I89" i="46"/>
  <c r="H89" i="46"/>
  <c r="G89" i="46"/>
  <c r="F89" i="46"/>
  <c r="O88" i="46"/>
  <c r="N88" i="46"/>
  <c r="M88" i="46"/>
  <c r="L88" i="46"/>
  <c r="K88" i="46"/>
  <c r="J88" i="46"/>
  <c r="I88" i="46"/>
  <c r="H88" i="46"/>
  <c r="G88" i="46"/>
  <c r="F88" i="46"/>
  <c r="O87" i="46"/>
  <c r="N87" i="46"/>
  <c r="M87" i="46"/>
  <c r="L87" i="46"/>
  <c r="K87" i="46"/>
  <c r="J87" i="46"/>
  <c r="I87" i="46"/>
  <c r="H87" i="46"/>
  <c r="G87" i="46"/>
  <c r="F87" i="46"/>
  <c r="O86" i="46"/>
  <c r="N86" i="46"/>
  <c r="M86" i="46"/>
  <c r="L86" i="46"/>
  <c r="K86" i="46"/>
  <c r="J86" i="46"/>
  <c r="I86" i="46"/>
  <c r="H86" i="46"/>
  <c r="G86" i="46"/>
  <c r="F86" i="46"/>
  <c r="O85" i="46"/>
  <c r="N85" i="46"/>
  <c r="M85" i="46"/>
  <c r="L85" i="46"/>
  <c r="K85" i="46"/>
  <c r="J85" i="46"/>
  <c r="I85" i="46"/>
  <c r="H85" i="46"/>
  <c r="G85" i="46"/>
  <c r="F85" i="46"/>
  <c r="O84" i="46"/>
  <c r="N84" i="46"/>
  <c r="M84" i="46"/>
  <c r="L84" i="46"/>
  <c r="K84" i="46"/>
  <c r="J84" i="46"/>
  <c r="I84" i="46"/>
  <c r="H84" i="46"/>
  <c r="G84" i="46"/>
  <c r="F84" i="46"/>
  <c r="O83" i="46"/>
  <c r="N83" i="46"/>
  <c r="M83" i="46"/>
  <c r="L83" i="46"/>
  <c r="K83" i="46"/>
  <c r="J83" i="46"/>
  <c r="I83" i="46"/>
  <c r="H83" i="46"/>
  <c r="G83" i="46"/>
  <c r="F83" i="46"/>
  <c r="O82" i="46"/>
  <c r="N82" i="46"/>
  <c r="M82" i="46"/>
  <c r="L82" i="46"/>
  <c r="K82" i="46"/>
  <c r="J82" i="46"/>
  <c r="I82" i="46"/>
  <c r="H82" i="46"/>
  <c r="G82" i="46"/>
  <c r="F82" i="46"/>
  <c r="O81" i="46"/>
  <c r="N81" i="46"/>
  <c r="M81" i="46"/>
  <c r="L81" i="46"/>
  <c r="K81" i="46"/>
  <c r="J81" i="46"/>
  <c r="I81" i="46"/>
  <c r="H81" i="46"/>
  <c r="G81" i="46"/>
  <c r="F81" i="46"/>
  <c r="O80" i="46"/>
  <c r="N80" i="46"/>
  <c r="M80" i="46"/>
  <c r="L80" i="46"/>
  <c r="K80" i="46"/>
  <c r="J80" i="46"/>
  <c r="I80" i="46"/>
  <c r="H80" i="46"/>
  <c r="G80" i="46"/>
  <c r="F80" i="46"/>
  <c r="O79" i="46"/>
  <c r="N79" i="46"/>
  <c r="M79" i="46"/>
  <c r="L79" i="46"/>
  <c r="K79" i="46"/>
  <c r="J79" i="46"/>
  <c r="I79" i="46"/>
  <c r="H79" i="46"/>
  <c r="G79" i="46"/>
  <c r="F79" i="46"/>
  <c r="O78" i="46"/>
  <c r="N78" i="46"/>
  <c r="M78" i="46"/>
  <c r="L78" i="46"/>
  <c r="K78" i="46"/>
  <c r="J78" i="46"/>
  <c r="I78" i="46"/>
  <c r="H78" i="46"/>
  <c r="G78" i="46"/>
  <c r="F78" i="46"/>
  <c r="O77" i="46"/>
  <c r="N77" i="46"/>
  <c r="M77" i="46"/>
  <c r="L77" i="46"/>
  <c r="K77" i="46"/>
  <c r="J77" i="46"/>
  <c r="I77" i="46"/>
  <c r="H77" i="46"/>
  <c r="G77" i="46"/>
  <c r="F77" i="46"/>
  <c r="O76" i="46"/>
  <c r="N76" i="46"/>
  <c r="M76" i="46"/>
  <c r="L76" i="46"/>
  <c r="K76" i="46"/>
  <c r="J76" i="46"/>
  <c r="I76" i="46"/>
  <c r="H76" i="46"/>
  <c r="G76" i="46"/>
  <c r="F76" i="46"/>
  <c r="O75" i="46"/>
  <c r="N75" i="46"/>
  <c r="M75" i="46"/>
  <c r="L75" i="46"/>
  <c r="K75" i="46"/>
  <c r="J75" i="46"/>
  <c r="I75" i="46"/>
  <c r="H75" i="46"/>
  <c r="G75" i="46"/>
  <c r="F75" i="46"/>
  <c r="O74" i="46"/>
  <c r="N74" i="46"/>
  <c r="M74" i="46"/>
  <c r="L74" i="46"/>
  <c r="K74" i="46"/>
  <c r="J74" i="46"/>
  <c r="I74" i="46"/>
  <c r="H74" i="46"/>
  <c r="G74" i="46"/>
  <c r="F74" i="46"/>
  <c r="O73" i="46"/>
  <c r="N73" i="46"/>
  <c r="M73" i="46"/>
  <c r="L73" i="46"/>
  <c r="K73" i="46"/>
  <c r="J73" i="46"/>
  <c r="I73" i="46"/>
  <c r="H73" i="46"/>
  <c r="G73" i="46"/>
  <c r="F73" i="46"/>
  <c r="O72" i="46"/>
  <c r="N72" i="46"/>
  <c r="M72" i="46"/>
  <c r="L72" i="46"/>
  <c r="K72" i="46"/>
  <c r="J72" i="46"/>
  <c r="I72" i="46"/>
  <c r="H72" i="46"/>
  <c r="G72" i="46"/>
  <c r="F72" i="46"/>
  <c r="O71" i="46"/>
  <c r="N71" i="46"/>
  <c r="M71" i="46"/>
  <c r="L71" i="46"/>
  <c r="K71" i="46"/>
  <c r="J71" i="46"/>
  <c r="I71" i="46"/>
  <c r="H71" i="46"/>
  <c r="G71" i="46"/>
  <c r="F71" i="46"/>
  <c r="O70" i="46"/>
  <c r="N70" i="46"/>
  <c r="M70" i="46"/>
  <c r="L70" i="46"/>
  <c r="K70" i="46"/>
  <c r="J70" i="46"/>
  <c r="I70" i="46"/>
  <c r="H70" i="46"/>
  <c r="G70" i="46"/>
  <c r="F70" i="46"/>
  <c r="O69" i="46"/>
  <c r="N69" i="46"/>
  <c r="M69" i="46"/>
  <c r="L69" i="46"/>
  <c r="K69" i="46"/>
  <c r="J69" i="46"/>
  <c r="I69" i="46"/>
  <c r="H69" i="46"/>
  <c r="G69" i="46"/>
  <c r="F69" i="46"/>
  <c r="O68" i="46"/>
  <c r="N68" i="46"/>
  <c r="M68" i="46"/>
  <c r="L68" i="46"/>
  <c r="K68" i="46"/>
  <c r="J68" i="46"/>
  <c r="I68" i="46"/>
  <c r="H68" i="46"/>
  <c r="G68" i="46"/>
  <c r="F68" i="46"/>
  <c r="O67" i="46"/>
  <c r="N67" i="46"/>
  <c r="M67" i="46"/>
  <c r="L67" i="46"/>
  <c r="K67" i="46"/>
  <c r="J67" i="46"/>
  <c r="I67" i="46"/>
  <c r="H67" i="46"/>
  <c r="G67" i="46"/>
  <c r="F67" i="46"/>
  <c r="O66" i="46"/>
  <c r="N66" i="46"/>
  <c r="M66" i="46"/>
  <c r="L66" i="46"/>
  <c r="K66" i="46"/>
  <c r="J66" i="46"/>
  <c r="I66" i="46"/>
  <c r="H66" i="46"/>
  <c r="G66" i="46"/>
  <c r="F66" i="46"/>
  <c r="O65" i="46"/>
  <c r="N65" i="46"/>
  <c r="M65" i="46"/>
  <c r="L65" i="46"/>
  <c r="K65" i="46"/>
  <c r="J65" i="46"/>
  <c r="I65" i="46"/>
  <c r="H65" i="46"/>
  <c r="G65" i="46"/>
  <c r="F65" i="46"/>
  <c r="O64" i="46"/>
  <c r="N64" i="46"/>
  <c r="M64" i="46"/>
  <c r="L64" i="46"/>
  <c r="K64" i="46"/>
  <c r="J64" i="46"/>
  <c r="I64" i="46"/>
  <c r="H64" i="46"/>
  <c r="G64" i="46"/>
  <c r="F64" i="46"/>
  <c r="O63" i="46"/>
  <c r="N63" i="46"/>
  <c r="M63" i="46"/>
  <c r="L63" i="46"/>
  <c r="K63" i="46"/>
  <c r="J63" i="46"/>
  <c r="I63" i="46"/>
  <c r="H63" i="46"/>
  <c r="G63" i="46"/>
  <c r="F63" i="46"/>
  <c r="O62" i="46"/>
  <c r="N62" i="46"/>
  <c r="M62" i="46"/>
  <c r="L62" i="46"/>
  <c r="K62" i="46"/>
  <c r="J62" i="46"/>
  <c r="I62" i="46"/>
  <c r="H62" i="46"/>
  <c r="G62" i="46"/>
  <c r="F62" i="46"/>
  <c r="O61" i="46"/>
  <c r="N61" i="46"/>
  <c r="M61" i="46"/>
  <c r="L61" i="46"/>
  <c r="K61" i="46"/>
  <c r="J61" i="46"/>
  <c r="I61" i="46"/>
  <c r="H61" i="46"/>
  <c r="G61" i="46"/>
  <c r="F61" i="46"/>
  <c r="O60" i="46"/>
  <c r="N60" i="46"/>
  <c r="M60" i="46"/>
  <c r="L60" i="46"/>
  <c r="K60" i="46"/>
  <c r="J60" i="46"/>
  <c r="I60" i="46"/>
  <c r="H60" i="46"/>
  <c r="G60" i="46"/>
  <c r="F60" i="46"/>
  <c r="O59" i="46"/>
  <c r="N59" i="46"/>
  <c r="M59" i="46"/>
  <c r="L59" i="46"/>
  <c r="K59" i="46"/>
  <c r="J59" i="46"/>
  <c r="I59" i="46"/>
  <c r="H59" i="46"/>
  <c r="G59" i="46"/>
  <c r="F59" i="46"/>
  <c r="O58" i="46"/>
  <c r="N58" i="46"/>
  <c r="M58" i="46"/>
  <c r="L58" i="46"/>
  <c r="K58" i="46"/>
  <c r="J58" i="46"/>
  <c r="I58" i="46"/>
  <c r="H58" i="46"/>
  <c r="G58" i="46"/>
  <c r="F58" i="46"/>
  <c r="O57" i="46"/>
  <c r="N57" i="46"/>
  <c r="M57" i="46"/>
  <c r="L57" i="46"/>
  <c r="K57" i="46"/>
  <c r="J57" i="46"/>
  <c r="I57" i="46"/>
  <c r="H57" i="46"/>
  <c r="G57" i="46"/>
  <c r="F57" i="46"/>
  <c r="O56" i="46"/>
  <c r="N56" i="46"/>
  <c r="M56" i="46"/>
  <c r="L56" i="46"/>
  <c r="K56" i="46"/>
  <c r="J56" i="46"/>
  <c r="I56" i="46"/>
  <c r="H56" i="46"/>
  <c r="G56" i="46"/>
  <c r="F56" i="46"/>
  <c r="O55" i="46"/>
  <c r="N55" i="46"/>
  <c r="M55" i="46"/>
  <c r="L55" i="46"/>
  <c r="K55" i="46"/>
  <c r="J55" i="46"/>
  <c r="I55" i="46"/>
  <c r="H55" i="46"/>
  <c r="G55" i="46"/>
  <c r="F55" i="46"/>
  <c r="O54" i="46"/>
  <c r="N54" i="46"/>
  <c r="M54" i="46"/>
  <c r="L54" i="46"/>
  <c r="K54" i="46"/>
  <c r="J54" i="46"/>
  <c r="I54" i="46"/>
  <c r="H54" i="46"/>
  <c r="G54" i="46"/>
  <c r="F54" i="46"/>
  <c r="O53" i="46"/>
  <c r="N53" i="46"/>
  <c r="M53" i="46"/>
  <c r="L53" i="46"/>
  <c r="K53" i="46"/>
  <c r="J53" i="46"/>
  <c r="I53" i="46"/>
  <c r="H53" i="46"/>
  <c r="G53" i="46"/>
  <c r="F53" i="46"/>
  <c r="O52" i="46"/>
  <c r="N52" i="46"/>
  <c r="M52" i="46"/>
  <c r="L52" i="46"/>
  <c r="K52" i="46"/>
  <c r="J52" i="46"/>
  <c r="I52" i="46"/>
  <c r="H52" i="46"/>
  <c r="G52" i="46"/>
  <c r="F52" i="46"/>
  <c r="O51" i="46"/>
  <c r="N51" i="46"/>
  <c r="M51" i="46"/>
  <c r="L51" i="46"/>
  <c r="K51" i="46"/>
  <c r="J51" i="46"/>
  <c r="I51" i="46"/>
  <c r="H51" i="46"/>
  <c r="G51" i="46"/>
  <c r="F51" i="46"/>
  <c r="O50" i="46"/>
  <c r="N50" i="46"/>
  <c r="M50" i="46"/>
  <c r="L50" i="46"/>
  <c r="K50" i="46"/>
  <c r="J50" i="46"/>
  <c r="I50" i="46"/>
  <c r="H50" i="46"/>
  <c r="G50" i="46"/>
  <c r="F50" i="46"/>
  <c r="O49" i="46"/>
  <c r="N49" i="46"/>
  <c r="M49" i="46"/>
  <c r="L49" i="46"/>
  <c r="K49" i="46"/>
  <c r="J49" i="46"/>
  <c r="I49" i="46"/>
  <c r="H49" i="46"/>
  <c r="G49" i="46"/>
  <c r="F49" i="46"/>
  <c r="O48" i="46"/>
  <c r="N48" i="46"/>
  <c r="M48" i="46"/>
  <c r="L48" i="46"/>
  <c r="K48" i="46"/>
  <c r="J48" i="46"/>
  <c r="I48" i="46"/>
  <c r="H48" i="46"/>
  <c r="G48" i="46"/>
  <c r="F48" i="46"/>
  <c r="O47" i="46"/>
  <c r="N47" i="46"/>
  <c r="M47" i="46"/>
  <c r="L47" i="46"/>
  <c r="K47" i="46"/>
  <c r="J47" i="46"/>
  <c r="I47" i="46"/>
  <c r="H47" i="46"/>
  <c r="G47" i="46"/>
  <c r="F47" i="46"/>
  <c r="O46" i="46"/>
  <c r="N46" i="46"/>
  <c r="M46" i="46"/>
  <c r="L46" i="46"/>
  <c r="K46" i="46"/>
  <c r="J46" i="46"/>
  <c r="I46" i="46"/>
  <c r="H46" i="46"/>
  <c r="G46" i="46"/>
  <c r="F46" i="46"/>
  <c r="O43" i="46"/>
  <c r="N43" i="46"/>
  <c r="M43" i="46"/>
  <c r="L43" i="46"/>
  <c r="K43" i="46"/>
  <c r="J43" i="46"/>
  <c r="I43" i="46"/>
  <c r="H43" i="46"/>
  <c r="G43" i="46"/>
  <c r="F43" i="46"/>
  <c r="O40" i="46"/>
  <c r="N40" i="46"/>
  <c r="M40" i="46"/>
  <c r="L40" i="46"/>
  <c r="K40" i="46"/>
  <c r="J40" i="46"/>
  <c r="I40" i="46"/>
  <c r="H40" i="46"/>
  <c r="G40" i="46"/>
  <c r="F40" i="46"/>
  <c r="L39" i="46"/>
  <c r="O37" i="46"/>
  <c r="N37" i="46"/>
  <c r="M37" i="46"/>
  <c r="L37" i="46"/>
  <c r="K37" i="46"/>
  <c r="J37" i="46"/>
  <c r="I37" i="46"/>
  <c r="H37" i="46"/>
  <c r="G37" i="46"/>
  <c r="F37" i="46"/>
  <c r="O105" i="160"/>
  <c r="O105" i="160" a="1"/>
  <c r="M105" i="160"/>
  <c r="M105" i="160" a="1"/>
  <c r="K105" i="160"/>
  <c r="K105" i="160" a="1"/>
  <c r="I105" i="160"/>
  <c r="I105" i="160" a="1"/>
  <c r="G105" i="160"/>
  <c r="G105" i="160" a="1"/>
  <c r="O104" i="160"/>
  <c r="N104" i="160"/>
  <c r="M104" i="160"/>
  <c r="L104" i="160"/>
  <c r="K104" i="160"/>
  <c r="J104" i="160"/>
  <c r="I104" i="160"/>
  <c r="H104" i="160"/>
  <c r="G104" i="160"/>
  <c r="F104" i="160"/>
  <c r="O103" i="160"/>
  <c r="N103" i="160"/>
  <c r="M103" i="160"/>
  <c r="L103" i="160"/>
  <c r="K103" i="160"/>
  <c r="J103" i="160"/>
  <c r="I103" i="160"/>
  <c r="H103" i="160"/>
  <c r="G103" i="160"/>
  <c r="F103" i="160"/>
  <c r="O102" i="160"/>
  <c r="N102" i="160"/>
  <c r="M102" i="160"/>
  <c r="L102" i="160"/>
  <c r="K102" i="160"/>
  <c r="J102" i="160"/>
  <c r="I102" i="160"/>
  <c r="H102" i="160"/>
  <c r="G102" i="160"/>
  <c r="F102" i="160"/>
  <c r="O101" i="160"/>
  <c r="N101" i="160"/>
  <c r="M101" i="160"/>
  <c r="L101" i="160"/>
  <c r="K101" i="160"/>
  <c r="J101" i="160"/>
  <c r="I101" i="160"/>
  <c r="H101" i="160"/>
  <c r="G101" i="160"/>
  <c r="F101" i="160"/>
  <c r="O100" i="160"/>
  <c r="N100" i="160"/>
  <c r="M100" i="160"/>
  <c r="L100" i="160"/>
  <c r="K100" i="160"/>
  <c r="J100" i="160"/>
  <c r="I100" i="160"/>
  <c r="H100" i="160"/>
  <c r="G100" i="160"/>
  <c r="F100" i="160"/>
  <c r="O99" i="160"/>
  <c r="N99" i="160"/>
  <c r="M99" i="160"/>
  <c r="L99" i="160"/>
  <c r="K99" i="160"/>
  <c r="J99" i="160"/>
  <c r="I99" i="160"/>
  <c r="H99" i="160"/>
  <c r="G99" i="160"/>
  <c r="F99" i="160"/>
  <c r="O98" i="160"/>
  <c r="N98" i="160"/>
  <c r="M98" i="160"/>
  <c r="L98" i="160"/>
  <c r="K98" i="160"/>
  <c r="J98" i="160"/>
  <c r="I98" i="160"/>
  <c r="H98" i="160"/>
  <c r="G98" i="160"/>
  <c r="F98" i="160"/>
  <c r="O97" i="160"/>
  <c r="N97" i="160"/>
  <c r="M97" i="160"/>
  <c r="L97" i="160"/>
  <c r="K97" i="160"/>
  <c r="J97" i="160"/>
  <c r="I97" i="160"/>
  <c r="H97" i="160"/>
  <c r="G97" i="160"/>
  <c r="F97" i="160"/>
  <c r="O96" i="160"/>
  <c r="N96" i="160"/>
  <c r="M96" i="160"/>
  <c r="L96" i="160"/>
  <c r="K96" i="160"/>
  <c r="J96" i="160"/>
  <c r="I96" i="160"/>
  <c r="H96" i="160"/>
  <c r="G96" i="160"/>
  <c r="F96" i="160"/>
  <c r="O95" i="160"/>
  <c r="N95" i="160"/>
  <c r="M95" i="160"/>
  <c r="L95" i="160"/>
  <c r="K95" i="160"/>
  <c r="J95" i="160"/>
  <c r="I95" i="160"/>
  <c r="H95" i="160"/>
  <c r="G95" i="160"/>
  <c r="F95" i="160"/>
  <c r="O94" i="160"/>
  <c r="N94" i="160"/>
  <c r="M94" i="160"/>
  <c r="L94" i="160"/>
  <c r="K94" i="160"/>
  <c r="J94" i="160"/>
  <c r="I94" i="160"/>
  <c r="H94" i="160"/>
  <c r="G94" i="160"/>
  <c r="F94" i="160"/>
  <c r="O93" i="160"/>
  <c r="N93" i="160"/>
  <c r="M93" i="160"/>
  <c r="L93" i="160"/>
  <c r="K93" i="160"/>
  <c r="J93" i="160"/>
  <c r="I93" i="160"/>
  <c r="H93" i="160"/>
  <c r="G93" i="160"/>
  <c r="F93" i="160"/>
  <c r="O92" i="160"/>
  <c r="N92" i="160"/>
  <c r="M92" i="160"/>
  <c r="L92" i="160"/>
  <c r="K92" i="160"/>
  <c r="J92" i="160"/>
  <c r="I92" i="160"/>
  <c r="H92" i="160"/>
  <c r="G92" i="160"/>
  <c r="F92" i="160"/>
  <c r="O91" i="160"/>
  <c r="N91" i="160"/>
  <c r="M91" i="160"/>
  <c r="L91" i="160"/>
  <c r="K91" i="160"/>
  <c r="J91" i="160"/>
  <c r="I91" i="160"/>
  <c r="H91" i="160"/>
  <c r="G91" i="160"/>
  <c r="F91" i="160"/>
  <c r="O90" i="160"/>
  <c r="N90" i="160"/>
  <c r="M90" i="160"/>
  <c r="L90" i="160"/>
  <c r="K90" i="160"/>
  <c r="J90" i="160"/>
  <c r="I90" i="160"/>
  <c r="H90" i="160"/>
  <c r="G90" i="160"/>
  <c r="F90" i="160"/>
  <c r="O89" i="160"/>
  <c r="N89" i="160"/>
  <c r="M89" i="160"/>
  <c r="L89" i="160"/>
  <c r="K89" i="160"/>
  <c r="J89" i="160"/>
  <c r="I89" i="160"/>
  <c r="H89" i="160"/>
  <c r="G89" i="160"/>
  <c r="F89" i="160"/>
  <c r="O88" i="160"/>
  <c r="N88" i="160"/>
  <c r="M88" i="160"/>
  <c r="L88" i="160"/>
  <c r="K88" i="160"/>
  <c r="J88" i="160"/>
  <c r="I88" i="160"/>
  <c r="H88" i="160"/>
  <c r="G88" i="160"/>
  <c r="F88" i="160"/>
  <c r="O87" i="160"/>
  <c r="N87" i="160"/>
  <c r="M87" i="160"/>
  <c r="L87" i="160"/>
  <c r="K87" i="160"/>
  <c r="J87" i="160"/>
  <c r="I87" i="160"/>
  <c r="H87" i="160"/>
  <c r="G87" i="160"/>
  <c r="F87" i="160"/>
  <c r="O86" i="160"/>
  <c r="N86" i="160"/>
  <c r="M86" i="160"/>
  <c r="L86" i="160"/>
  <c r="K86" i="160"/>
  <c r="J86" i="160"/>
  <c r="I86" i="160"/>
  <c r="H86" i="160"/>
  <c r="G86" i="160"/>
  <c r="F86" i="160"/>
  <c r="O85" i="160"/>
  <c r="N85" i="160"/>
  <c r="M85" i="160"/>
  <c r="L85" i="160"/>
  <c r="K85" i="160"/>
  <c r="J85" i="160"/>
  <c r="I85" i="160"/>
  <c r="H85" i="160"/>
  <c r="G85" i="160"/>
  <c r="F85" i="160"/>
  <c r="O84" i="160"/>
  <c r="N84" i="160"/>
  <c r="M84" i="160"/>
  <c r="L84" i="160"/>
  <c r="K84" i="160"/>
  <c r="J84" i="160"/>
  <c r="I84" i="160"/>
  <c r="H84" i="160"/>
  <c r="G84" i="160"/>
  <c r="F84" i="160"/>
  <c r="O83" i="160"/>
  <c r="N83" i="160"/>
  <c r="M83" i="160"/>
  <c r="L83" i="160"/>
  <c r="K83" i="160"/>
  <c r="J83" i="160"/>
  <c r="I83" i="160"/>
  <c r="H83" i="160"/>
  <c r="G83" i="160"/>
  <c r="F83" i="160"/>
  <c r="O82" i="160"/>
  <c r="N82" i="160"/>
  <c r="M82" i="160"/>
  <c r="L82" i="160"/>
  <c r="K82" i="160"/>
  <c r="J82" i="160"/>
  <c r="I82" i="160"/>
  <c r="H82" i="160"/>
  <c r="G82" i="160"/>
  <c r="F82" i="160"/>
  <c r="O81" i="160"/>
  <c r="N81" i="160"/>
  <c r="M81" i="160"/>
  <c r="L81" i="160"/>
  <c r="K81" i="160"/>
  <c r="J81" i="160"/>
  <c r="I81" i="160"/>
  <c r="H81" i="160"/>
  <c r="G81" i="160"/>
  <c r="F81" i="160"/>
  <c r="O80" i="160"/>
  <c r="N80" i="160"/>
  <c r="M80" i="160"/>
  <c r="L80" i="160"/>
  <c r="K80" i="160"/>
  <c r="J80" i="160"/>
  <c r="I80" i="160"/>
  <c r="H80" i="160"/>
  <c r="G80" i="160"/>
  <c r="F80" i="160"/>
  <c r="O79" i="160"/>
  <c r="N79" i="160"/>
  <c r="M79" i="160"/>
  <c r="L79" i="160"/>
  <c r="K79" i="160"/>
  <c r="J79" i="160"/>
  <c r="I79" i="160"/>
  <c r="H79" i="160"/>
  <c r="G79" i="160"/>
  <c r="F79" i="160"/>
  <c r="O78" i="160"/>
  <c r="N78" i="160"/>
  <c r="M78" i="160"/>
  <c r="L78" i="160"/>
  <c r="K78" i="160"/>
  <c r="J78" i="160"/>
  <c r="I78" i="160"/>
  <c r="H78" i="160"/>
  <c r="G78" i="160"/>
  <c r="F78" i="160"/>
  <c r="O77" i="160"/>
  <c r="N77" i="160"/>
  <c r="M77" i="160"/>
  <c r="L77" i="160"/>
  <c r="K77" i="160"/>
  <c r="J77" i="160"/>
  <c r="I77" i="160"/>
  <c r="H77" i="160"/>
  <c r="G77" i="160"/>
  <c r="F77" i="160"/>
  <c r="O76" i="160"/>
  <c r="N76" i="160"/>
  <c r="M76" i="160"/>
  <c r="L76" i="160"/>
  <c r="K76" i="160"/>
  <c r="J76" i="160"/>
  <c r="I76" i="160"/>
  <c r="H76" i="160"/>
  <c r="G76" i="160"/>
  <c r="F76" i="160"/>
  <c r="O75" i="160"/>
  <c r="N75" i="160"/>
  <c r="M75" i="160"/>
  <c r="L75" i="160"/>
  <c r="K75" i="160"/>
  <c r="J75" i="160"/>
  <c r="I75" i="160"/>
  <c r="H75" i="160"/>
  <c r="G75" i="160"/>
  <c r="F75" i="160"/>
  <c r="O74" i="160"/>
  <c r="N74" i="160"/>
  <c r="M74" i="160"/>
  <c r="L74" i="160"/>
  <c r="K74" i="160"/>
  <c r="J74" i="160"/>
  <c r="I74" i="160"/>
  <c r="H74" i="160"/>
  <c r="G74" i="160"/>
  <c r="F74" i="160"/>
  <c r="O73" i="160"/>
  <c r="N73" i="160"/>
  <c r="M73" i="160"/>
  <c r="L73" i="160"/>
  <c r="K73" i="160"/>
  <c r="J73" i="160"/>
  <c r="I73" i="160"/>
  <c r="H73" i="160"/>
  <c r="G73" i="160"/>
  <c r="F73" i="160"/>
  <c r="O72" i="160"/>
  <c r="N72" i="160"/>
  <c r="M72" i="160"/>
  <c r="L72" i="160"/>
  <c r="K72" i="160"/>
  <c r="J72" i="160"/>
  <c r="I72" i="160"/>
  <c r="H72" i="160"/>
  <c r="G72" i="160"/>
  <c r="F72" i="160"/>
  <c r="O71" i="160"/>
  <c r="N71" i="160"/>
  <c r="M71" i="160"/>
  <c r="L71" i="160"/>
  <c r="K71" i="160"/>
  <c r="J71" i="160"/>
  <c r="I71" i="160"/>
  <c r="H71" i="160"/>
  <c r="G71" i="160"/>
  <c r="F71" i="160"/>
  <c r="O70" i="160"/>
  <c r="N70" i="160"/>
  <c r="M70" i="160"/>
  <c r="L70" i="160"/>
  <c r="K70" i="160"/>
  <c r="J70" i="160"/>
  <c r="I70" i="160"/>
  <c r="H70" i="160"/>
  <c r="G70" i="160"/>
  <c r="F70" i="160"/>
  <c r="O69" i="160"/>
  <c r="N69" i="160"/>
  <c r="M69" i="160"/>
  <c r="L69" i="160"/>
  <c r="K69" i="160"/>
  <c r="J69" i="160"/>
  <c r="I69" i="160"/>
  <c r="H69" i="160"/>
  <c r="G69" i="160"/>
  <c r="F69" i="160"/>
  <c r="O68" i="160"/>
  <c r="N68" i="160"/>
  <c r="M68" i="160"/>
  <c r="L68" i="160"/>
  <c r="K68" i="160"/>
  <c r="J68" i="160"/>
  <c r="I68" i="160"/>
  <c r="H68" i="160"/>
  <c r="G68" i="160"/>
  <c r="F68" i="160"/>
  <c r="O67" i="160"/>
  <c r="N67" i="160"/>
  <c r="M67" i="160"/>
  <c r="L67" i="160"/>
  <c r="K67" i="160"/>
  <c r="J67" i="160"/>
  <c r="I67" i="160"/>
  <c r="H67" i="160"/>
  <c r="G67" i="160"/>
  <c r="F67" i="160"/>
  <c r="O66" i="160"/>
  <c r="N66" i="160"/>
  <c r="M66" i="160"/>
  <c r="L66" i="160"/>
  <c r="K66" i="160"/>
  <c r="J66" i="160"/>
  <c r="I66" i="160"/>
  <c r="H66" i="160"/>
  <c r="G66" i="160"/>
  <c r="F66" i="160"/>
  <c r="O65" i="160"/>
  <c r="N65" i="160"/>
  <c r="M65" i="160"/>
  <c r="L65" i="160"/>
  <c r="K65" i="160"/>
  <c r="J65" i="160"/>
  <c r="I65" i="160"/>
  <c r="H65" i="160"/>
  <c r="G65" i="160"/>
  <c r="F65" i="160"/>
  <c r="O64" i="160"/>
  <c r="N64" i="160"/>
  <c r="M64" i="160"/>
  <c r="L64" i="160"/>
  <c r="K64" i="160"/>
  <c r="J64" i="160"/>
  <c r="I64" i="160"/>
  <c r="H64" i="160"/>
  <c r="G64" i="160"/>
  <c r="F64" i="160"/>
  <c r="O63" i="160"/>
  <c r="N63" i="160"/>
  <c r="M63" i="160"/>
  <c r="L63" i="160"/>
  <c r="K63" i="160"/>
  <c r="J63" i="160"/>
  <c r="I63" i="160"/>
  <c r="H63" i="160"/>
  <c r="G63" i="160"/>
  <c r="F63" i="160"/>
  <c r="O62" i="160"/>
  <c r="N62" i="160"/>
  <c r="M62" i="160"/>
  <c r="L62" i="160"/>
  <c r="K62" i="160"/>
  <c r="J62" i="160"/>
  <c r="I62" i="160"/>
  <c r="H62" i="160"/>
  <c r="G62" i="160"/>
  <c r="F62" i="160"/>
  <c r="O61" i="160"/>
  <c r="N61" i="160"/>
  <c r="M61" i="160"/>
  <c r="L61" i="160"/>
  <c r="K61" i="160"/>
  <c r="J61" i="160"/>
  <c r="I61" i="160"/>
  <c r="H61" i="160"/>
  <c r="G61" i="160"/>
  <c r="F61" i="160"/>
  <c r="O60" i="160"/>
  <c r="N60" i="160"/>
  <c r="M60" i="160"/>
  <c r="L60" i="160"/>
  <c r="K60" i="160"/>
  <c r="J60" i="160"/>
  <c r="I60" i="160"/>
  <c r="H60" i="160"/>
  <c r="G60" i="160"/>
  <c r="F60" i="160"/>
  <c r="O59" i="160"/>
  <c r="N59" i="160"/>
  <c r="M59" i="160"/>
  <c r="L59" i="160"/>
  <c r="K59" i="160"/>
  <c r="J59" i="160"/>
  <c r="I59" i="160"/>
  <c r="H59" i="160"/>
  <c r="G59" i="160"/>
  <c r="F59" i="160"/>
  <c r="O58" i="160"/>
  <c r="N58" i="160"/>
  <c r="M58" i="160"/>
  <c r="L58" i="160"/>
  <c r="K58" i="160"/>
  <c r="J58" i="160"/>
  <c r="I58" i="160"/>
  <c r="H58" i="160"/>
  <c r="G58" i="160"/>
  <c r="F58" i="160"/>
  <c r="O57" i="160"/>
  <c r="N57" i="160"/>
  <c r="M57" i="160"/>
  <c r="L57" i="160"/>
  <c r="K57" i="160"/>
  <c r="J57" i="160"/>
  <c r="I57" i="160"/>
  <c r="H57" i="160"/>
  <c r="G57" i="160"/>
  <c r="F57" i="160"/>
  <c r="O56" i="160"/>
  <c r="N56" i="160"/>
  <c r="M56" i="160"/>
  <c r="L56" i="160"/>
  <c r="K56" i="160"/>
  <c r="J56" i="160"/>
  <c r="I56" i="160"/>
  <c r="H56" i="160"/>
  <c r="G56" i="160"/>
  <c r="F56" i="160"/>
  <c r="O55" i="160"/>
  <c r="N55" i="160"/>
  <c r="M55" i="160"/>
  <c r="L55" i="160"/>
  <c r="K55" i="160"/>
  <c r="J55" i="160"/>
  <c r="I55" i="160"/>
  <c r="H55" i="160"/>
  <c r="G55" i="160"/>
  <c r="F55" i="160"/>
  <c r="O54" i="160"/>
  <c r="N54" i="160"/>
  <c r="M54" i="160"/>
  <c r="L54" i="160"/>
  <c r="K54" i="160"/>
  <c r="J54" i="160"/>
  <c r="I54" i="160"/>
  <c r="H54" i="160"/>
  <c r="G54" i="160"/>
  <c r="F54" i="160"/>
  <c r="O53" i="160"/>
  <c r="N53" i="160"/>
  <c r="M53" i="160"/>
  <c r="L53" i="160"/>
  <c r="K53" i="160"/>
  <c r="J53" i="160"/>
  <c r="I53" i="160"/>
  <c r="H53" i="160"/>
  <c r="G53" i="160"/>
  <c r="F53" i="160"/>
  <c r="O52" i="160"/>
  <c r="N52" i="160"/>
  <c r="M52" i="160"/>
  <c r="L52" i="160"/>
  <c r="K52" i="160"/>
  <c r="J52" i="160"/>
  <c r="I52" i="160"/>
  <c r="H52" i="160"/>
  <c r="G52" i="160"/>
  <c r="F52" i="160"/>
  <c r="O51" i="160"/>
  <c r="N51" i="160"/>
  <c r="M51" i="160"/>
  <c r="L51" i="160"/>
  <c r="K51" i="160"/>
  <c r="J51" i="160"/>
  <c r="I51" i="160"/>
  <c r="H51" i="160"/>
  <c r="G51" i="160"/>
  <c r="F51" i="160"/>
  <c r="O50" i="160"/>
  <c r="N50" i="160"/>
  <c r="M50" i="160"/>
  <c r="L50" i="160"/>
  <c r="K50" i="160"/>
  <c r="J50" i="160"/>
  <c r="I50" i="160"/>
  <c r="H50" i="160"/>
  <c r="G50" i="160"/>
  <c r="F50" i="160"/>
  <c r="O49" i="160"/>
  <c r="N49" i="160"/>
  <c r="M49" i="160"/>
  <c r="L49" i="160"/>
  <c r="K49" i="160"/>
  <c r="J49" i="160"/>
  <c r="I49" i="160"/>
  <c r="H49" i="160"/>
  <c r="G49" i="160"/>
  <c r="F49" i="160"/>
  <c r="O45" i="160"/>
  <c r="N45" i="160"/>
  <c r="M45" i="160"/>
  <c r="L45" i="160"/>
  <c r="K45" i="160"/>
  <c r="J45" i="160"/>
  <c r="I45" i="160"/>
  <c r="H45" i="160"/>
  <c r="G45" i="160"/>
  <c r="F45" i="160"/>
  <c r="O41" i="160"/>
  <c r="N41" i="160"/>
  <c r="M41" i="160"/>
  <c r="L41" i="160"/>
  <c r="K41" i="160"/>
  <c r="J41" i="160"/>
  <c r="I41" i="160"/>
  <c r="H41" i="160"/>
  <c r="G41" i="160"/>
  <c r="F41" i="160"/>
  <c r="L39" i="160"/>
  <c r="O37" i="160"/>
  <c r="N37" i="160"/>
  <c r="M37" i="160"/>
  <c r="L37" i="160"/>
  <c r="K37" i="160"/>
  <c r="J37" i="160"/>
  <c r="I37" i="160"/>
  <c r="H37" i="160"/>
  <c r="G37" i="160"/>
  <c r="F37" i="160"/>
  <c r="O107" i="159"/>
  <c r="O107" i="159" a="1"/>
  <c r="M107" i="159"/>
  <c r="M107" i="159" a="1"/>
  <c r="K107" i="159"/>
  <c r="K107" i="159" a="1"/>
  <c r="I107" i="159"/>
  <c r="I107" i="159" a="1"/>
  <c r="G107" i="159"/>
  <c r="G107" i="159" a="1"/>
  <c r="O106" i="159"/>
  <c r="N106" i="159"/>
  <c r="M106" i="159"/>
  <c r="L106" i="159"/>
  <c r="K106" i="159"/>
  <c r="J106" i="159"/>
  <c r="I106" i="159"/>
  <c r="H106" i="159"/>
  <c r="G106" i="159"/>
  <c r="F106" i="159"/>
  <c r="O105" i="159"/>
  <c r="N105" i="159"/>
  <c r="M105" i="159"/>
  <c r="L105" i="159"/>
  <c r="K105" i="159"/>
  <c r="J105" i="159"/>
  <c r="I105" i="159"/>
  <c r="H105" i="159"/>
  <c r="G105" i="159"/>
  <c r="F105" i="159"/>
  <c r="O104" i="159"/>
  <c r="N104" i="159"/>
  <c r="M104" i="159"/>
  <c r="L104" i="159"/>
  <c r="K104" i="159"/>
  <c r="J104" i="159"/>
  <c r="I104" i="159"/>
  <c r="H104" i="159"/>
  <c r="G104" i="159"/>
  <c r="F104" i="159"/>
  <c r="O103" i="159"/>
  <c r="N103" i="159"/>
  <c r="M103" i="159"/>
  <c r="L103" i="159"/>
  <c r="K103" i="159"/>
  <c r="J103" i="159"/>
  <c r="I103" i="159"/>
  <c r="H103" i="159"/>
  <c r="G103" i="159"/>
  <c r="F103" i="159"/>
  <c r="O102" i="159"/>
  <c r="N102" i="159"/>
  <c r="M102" i="159"/>
  <c r="L102" i="159"/>
  <c r="K102" i="159"/>
  <c r="J102" i="159"/>
  <c r="I102" i="159"/>
  <c r="H102" i="159"/>
  <c r="G102" i="159"/>
  <c r="F102" i="159"/>
  <c r="O101" i="159"/>
  <c r="N101" i="159"/>
  <c r="M101" i="159"/>
  <c r="L101" i="159"/>
  <c r="K101" i="159"/>
  <c r="J101" i="159"/>
  <c r="I101" i="159"/>
  <c r="H101" i="159"/>
  <c r="G101" i="159"/>
  <c r="F101" i="159"/>
  <c r="O100" i="159"/>
  <c r="N100" i="159"/>
  <c r="M100" i="159"/>
  <c r="L100" i="159"/>
  <c r="K100" i="159"/>
  <c r="J100" i="159"/>
  <c r="I100" i="159"/>
  <c r="H100" i="159"/>
  <c r="G100" i="159"/>
  <c r="F100" i="159"/>
  <c r="O99" i="159"/>
  <c r="N99" i="159"/>
  <c r="M99" i="159"/>
  <c r="L99" i="159"/>
  <c r="K99" i="159"/>
  <c r="J99" i="159"/>
  <c r="I99" i="159"/>
  <c r="H99" i="159"/>
  <c r="G99" i="159"/>
  <c r="F99" i="159"/>
  <c r="O98" i="159"/>
  <c r="N98" i="159"/>
  <c r="M98" i="159"/>
  <c r="L98" i="159"/>
  <c r="K98" i="159"/>
  <c r="J98" i="159"/>
  <c r="I98" i="159"/>
  <c r="H98" i="159"/>
  <c r="G98" i="159"/>
  <c r="F98" i="159"/>
  <c r="O97" i="159"/>
  <c r="N97" i="159"/>
  <c r="M97" i="159"/>
  <c r="L97" i="159"/>
  <c r="K97" i="159"/>
  <c r="J97" i="159"/>
  <c r="I97" i="159"/>
  <c r="H97" i="159"/>
  <c r="G97" i="159"/>
  <c r="F97" i="159"/>
  <c r="O96" i="159"/>
  <c r="N96" i="159"/>
  <c r="M96" i="159"/>
  <c r="L96" i="159"/>
  <c r="K96" i="159"/>
  <c r="J96" i="159"/>
  <c r="I96" i="159"/>
  <c r="H96" i="159"/>
  <c r="G96" i="159"/>
  <c r="F96" i="159"/>
  <c r="O95" i="159"/>
  <c r="N95" i="159"/>
  <c r="M95" i="159"/>
  <c r="L95" i="159"/>
  <c r="K95" i="159"/>
  <c r="J95" i="159"/>
  <c r="I95" i="159"/>
  <c r="H95" i="159"/>
  <c r="G95" i="159"/>
  <c r="F95" i="159"/>
  <c r="O94" i="159"/>
  <c r="N94" i="159"/>
  <c r="M94" i="159"/>
  <c r="L94" i="159"/>
  <c r="K94" i="159"/>
  <c r="J94" i="159"/>
  <c r="I94" i="159"/>
  <c r="H94" i="159"/>
  <c r="G94" i="159"/>
  <c r="F94" i="159"/>
  <c r="O93" i="159"/>
  <c r="N93" i="159"/>
  <c r="M93" i="159"/>
  <c r="L93" i="159"/>
  <c r="K93" i="159"/>
  <c r="J93" i="159"/>
  <c r="I93" i="159"/>
  <c r="H93" i="159"/>
  <c r="G93" i="159"/>
  <c r="F93" i="159"/>
  <c r="O92" i="159"/>
  <c r="N92" i="159"/>
  <c r="M92" i="159"/>
  <c r="L92" i="159"/>
  <c r="K92" i="159"/>
  <c r="J92" i="159"/>
  <c r="I92" i="159"/>
  <c r="H92" i="159"/>
  <c r="G92" i="159"/>
  <c r="F92" i="159"/>
  <c r="O91" i="159"/>
  <c r="N91" i="159"/>
  <c r="M91" i="159"/>
  <c r="L91" i="159"/>
  <c r="K91" i="159"/>
  <c r="J91" i="159"/>
  <c r="I91" i="159"/>
  <c r="H91" i="159"/>
  <c r="G91" i="159"/>
  <c r="F91" i="159"/>
  <c r="O90" i="159"/>
  <c r="N90" i="159"/>
  <c r="M90" i="159"/>
  <c r="L90" i="159"/>
  <c r="K90" i="159"/>
  <c r="J90" i="159"/>
  <c r="I90" i="159"/>
  <c r="H90" i="159"/>
  <c r="G90" i="159"/>
  <c r="F90" i="159"/>
  <c r="O89" i="159"/>
  <c r="N89" i="159"/>
  <c r="M89" i="159"/>
  <c r="L89" i="159"/>
  <c r="K89" i="159"/>
  <c r="J89" i="159"/>
  <c r="I89" i="159"/>
  <c r="H89" i="159"/>
  <c r="G89" i="159"/>
  <c r="F89" i="159"/>
  <c r="O88" i="159"/>
  <c r="N88" i="159"/>
  <c r="M88" i="159"/>
  <c r="L88" i="159"/>
  <c r="K88" i="159"/>
  <c r="J88" i="159"/>
  <c r="I88" i="159"/>
  <c r="H88" i="159"/>
  <c r="G88" i="159"/>
  <c r="F88" i="159"/>
  <c r="O87" i="159"/>
  <c r="N87" i="159"/>
  <c r="M87" i="159"/>
  <c r="L87" i="159"/>
  <c r="K87" i="159"/>
  <c r="J87" i="159"/>
  <c r="I87" i="159"/>
  <c r="H87" i="159"/>
  <c r="G87" i="159"/>
  <c r="F87" i="159"/>
  <c r="O86" i="159"/>
  <c r="N86" i="159"/>
  <c r="M86" i="159"/>
  <c r="L86" i="159"/>
  <c r="K86" i="159"/>
  <c r="J86" i="159"/>
  <c r="I86" i="159"/>
  <c r="H86" i="159"/>
  <c r="G86" i="159"/>
  <c r="F86" i="159"/>
  <c r="O85" i="159"/>
  <c r="N85" i="159"/>
  <c r="M85" i="159"/>
  <c r="L85" i="159"/>
  <c r="K85" i="159"/>
  <c r="J85" i="159"/>
  <c r="I85" i="159"/>
  <c r="H85" i="159"/>
  <c r="G85" i="159"/>
  <c r="F85" i="159"/>
  <c r="O84" i="159"/>
  <c r="N84" i="159"/>
  <c r="M84" i="159"/>
  <c r="L84" i="159"/>
  <c r="K84" i="159"/>
  <c r="J84" i="159"/>
  <c r="I84" i="159"/>
  <c r="H84" i="159"/>
  <c r="G84" i="159"/>
  <c r="F84" i="159"/>
  <c r="O83" i="159"/>
  <c r="N83" i="159"/>
  <c r="M83" i="159"/>
  <c r="L83" i="159"/>
  <c r="K83" i="159"/>
  <c r="J83" i="159"/>
  <c r="I83" i="159"/>
  <c r="H83" i="159"/>
  <c r="G83" i="159"/>
  <c r="F83" i="159"/>
  <c r="O82" i="159"/>
  <c r="N82" i="159"/>
  <c r="M82" i="159"/>
  <c r="L82" i="159"/>
  <c r="K82" i="159"/>
  <c r="J82" i="159"/>
  <c r="I82" i="159"/>
  <c r="H82" i="159"/>
  <c r="G82" i="159"/>
  <c r="F82" i="159"/>
  <c r="O81" i="159"/>
  <c r="N81" i="159"/>
  <c r="M81" i="159"/>
  <c r="L81" i="159"/>
  <c r="K81" i="159"/>
  <c r="J81" i="159"/>
  <c r="I81" i="159"/>
  <c r="H81" i="159"/>
  <c r="G81" i="159"/>
  <c r="F81" i="159"/>
  <c r="O80" i="159"/>
  <c r="N80" i="159"/>
  <c r="M80" i="159"/>
  <c r="L80" i="159"/>
  <c r="K80" i="159"/>
  <c r="J80" i="159"/>
  <c r="I80" i="159"/>
  <c r="H80" i="159"/>
  <c r="G80" i="159"/>
  <c r="F80" i="159"/>
  <c r="O79" i="159"/>
  <c r="N79" i="159"/>
  <c r="M79" i="159"/>
  <c r="L79" i="159"/>
  <c r="K79" i="159"/>
  <c r="J79" i="159"/>
  <c r="I79" i="159"/>
  <c r="H79" i="159"/>
  <c r="G79" i="159"/>
  <c r="F79" i="159"/>
  <c r="O78" i="159"/>
  <c r="N78" i="159"/>
  <c r="M78" i="159"/>
  <c r="L78" i="159"/>
  <c r="K78" i="159"/>
  <c r="J78" i="159"/>
  <c r="I78" i="159"/>
  <c r="H78" i="159"/>
  <c r="G78" i="159"/>
  <c r="F78" i="159"/>
  <c r="O77" i="159"/>
  <c r="N77" i="159"/>
  <c r="M77" i="159"/>
  <c r="L77" i="159"/>
  <c r="K77" i="159"/>
  <c r="J77" i="159"/>
  <c r="I77" i="159"/>
  <c r="H77" i="159"/>
  <c r="G77" i="159"/>
  <c r="F77" i="159"/>
  <c r="O76" i="159"/>
  <c r="N76" i="159"/>
  <c r="M76" i="159"/>
  <c r="L76" i="159"/>
  <c r="K76" i="159"/>
  <c r="J76" i="159"/>
  <c r="I76" i="159"/>
  <c r="H76" i="159"/>
  <c r="G76" i="159"/>
  <c r="F76" i="159"/>
  <c r="O75" i="159"/>
  <c r="N75" i="159"/>
  <c r="M75" i="159"/>
  <c r="L75" i="159"/>
  <c r="K75" i="159"/>
  <c r="J75" i="159"/>
  <c r="I75" i="159"/>
  <c r="H75" i="159"/>
  <c r="G75" i="159"/>
  <c r="F75" i="159"/>
  <c r="O74" i="159"/>
  <c r="N74" i="159"/>
  <c r="M74" i="159"/>
  <c r="L74" i="159"/>
  <c r="K74" i="159"/>
  <c r="J74" i="159"/>
  <c r="I74" i="159"/>
  <c r="H74" i="159"/>
  <c r="G74" i="159"/>
  <c r="F74" i="159"/>
  <c r="O73" i="159"/>
  <c r="N73" i="159"/>
  <c r="M73" i="159"/>
  <c r="L73" i="159"/>
  <c r="K73" i="159"/>
  <c r="J73" i="159"/>
  <c r="I73" i="159"/>
  <c r="H73" i="159"/>
  <c r="G73" i="159"/>
  <c r="F73" i="159"/>
  <c r="O72" i="159"/>
  <c r="N72" i="159"/>
  <c r="M72" i="159"/>
  <c r="L72" i="159"/>
  <c r="K72" i="159"/>
  <c r="J72" i="159"/>
  <c r="I72" i="159"/>
  <c r="H72" i="159"/>
  <c r="G72" i="159"/>
  <c r="F72" i="159"/>
  <c r="O71" i="159"/>
  <c r="N71" i="159"/>
  <c r="M71" i="159"/>
  <c r="L71" i="159"/>
  <c r="K71" i="159"/>
  <c r="J71" i="159"/>
  <c r="I71" i="159"/>
  <c r="H71" i="159"/>
  <c r="G71" i="159"/>
  <c r="F71" i="159"/>
  <c r="O70" i="159"/>
  <c r="N70" i="159"/>
  <c r="M70" i="159"/>
  <c r="L70" i="159"/>
  <c r="K70" i="159"/>
  <c r="J70" i="159"/>
  <c r="I70" i="159"/>
  <c r="H70" i="159"/>
  <c r="G70" i="159"/>
  <c r="F70" i="159"/>
  <c r="O69" i="159"/>
  <c r="N69" i="159"/>
  <c r="M69" i="159"/>
  <c r="L69" i="159"/>
  <c r="K69" i="159"/>
  <c r="J69" i="159"/>
  <c r="I69" i="159"/>
  <c r="H69" i="159"/>
  <c r="G69" i="159"/>
  <c r="F69" i="159"/>
  <c r="O68" i="159"/>
  <c r="N68" i="159"/>
  <c r="M68" i="159"/>
  <c r="L68" i="159"/>
  <c r="K68" i="159"/>
  <c r="J68" i="159"/>
  <c r="I68" i="159"/>
  <c r="H68" i="159"/>
  <c r="G68" i="159"/>
  <c r="F68" i="159"/>
  <c r="O67" i="159"/>
  <c r="N67" i="159"/>
  <c r="M67" i="159"/>
  <c r="L67" i="159"/>
  <c r="K67" i="159"/>
  <c r="J67" i="159"/>
  <c r="I67" i="159"/>
  <c r="H67" i="159"/>
  <c r="G67" i="159"/>
  <c r="F67" i="159"/>
  <c r="O66" i="159"/>
  <c r="N66" i="159"/>
  <c r="M66" i="159"/>
  <c r="L66" i="159"/>
  <c r="K66" i="159"/>
  <c r="J66" i="159"/>
  <c r="I66" i="159"/>
  <c r="H66" i="159"/>
  <c r="G66" i="159"/>
  <c r="F66" i="159"/>
  <c r="O65" i="159"/>
  <c r="N65" i="159"/>
  <c r="M65" i="159"/>
  <c r="L65" i="159"/>
  <c r="K65" i="159"/>
  <c r="J65" i="159"/>
  <c r="I65" i="159"/>
  <c r="H65" i="159"/>
  <c r="G65" i="159"/>
  <c r="F65" i="159"/>
  <c r="O64" i="159"/>
  <c r="N64" i="159"/>
  <c r="M64" i="159"/>
  <c r="L64" i="159"/>
  <c r="K64" i="159"/>
  <c r="J64" i="159"/>
  <c r="I64" i="159"/>
  <c r="H64" i="159"/>
  <c r="G64" i="159"/>
  <c r="F64" i="159"/>
  <c r="O63" i="159"/>
  <c r="N63" i="159"/>
  <c r="M63" i="159"/>
  <c r="L63" i="159"/>
  <c r="K63" i="159"/>
  <c r="J63" i="159"/>
  <c r="I63" i="159"/>
  <c r="H63" i="159"/>
  <c r="G63" i="159"/>
  <c r="F63" i="159"/>
  <c r="O62" i="159"/>
  <c r="N62" i="159"/>
  <c r="M62" i="159"/>
  <c r="L62" i="159"/>
  <c r="K62" i="159"/>
  <c r="J62" i="159"/>
  <c r="I62" i="159"/>
  <c r="H62" i="159"/>
  <c r="G62" i="159"/>
  <c r="F62" i="159"/>
  <c r="O61" i="159"/>
  <c r="N61" i="159"/>
  <c r="M61" i="159"/>
  <c r="L61" i="159"/>
  <c r="K61" i="159"/>
  <c r="J61" i="159"/>
  <c r="I61" i="159"/>
  <c r="H61" i="159"/>
  <c r="G61" i="159"/>
  <c r="F61" i="159"/>
  <c r="O60" i="159"/>
  <c r="N60" i="159"/>
  <c r="M60" i="159"/>
  <c r="L60" i="159"/>
  <c r="K60" i="159"/>
  <c r="J60" i="159"/>
  <c r="I60" i="159"/>
  <c r="H60" i="159"/>
  <c r="G60" i="159"/>
  <c r="F60" i="159"/>
  <c r="O59" i="159"/>
  <c r="N59" i="159"/>
  <c r="M59" i="159"/>
  <c r="L59" i="159"/>
  <c r="K59" i="159"/>
  <c r="J59" i="159"/>
  <c r="I59" i="159"/>
  <c r="H59" i="159"/>
  <c r="G59" i="159"/>
  <c r="F59" i="159"/>
  <c r="O58" i="159"/>
  <c r="N58" i="159"/>
  <c r="M58" i="159"/>
  <c r="L58" i="159"/>
  <c r="K58" i="159"/>
  <c r="J58" i="159"/>
  <c r="I58" i="159"/>
  <c r="H58" i="159"/>
  <c r="G58" i="159"/>
  <c r="F58" i="159"/>
  <c r="O57" i="159"/>
  <c r="N57" i="159"/>
  <c r="M57" i="159"/>
  <c r="L57" i="159"/>
  <c r="K57" i="159"/>
  <c r="J57" i="159"/>
  <c r="I57" i="159"/>
  <c r="H57" i="159"/>
  <c r="G57" i="159"/>
  <c r="F57" i="159"/>
  <c r="O56" i="159"/>
  <c r="N56" i="159"/>
  <c r="M56" i="159"/>
  <c r="L56" i="159"/>
  <c r="K56" i="159"/>
  <c r="J56" i="159"/>
  <c r="I56" i="159"/>
  <c r="H56" i="159"/>
  <c r="G56" i="159"/>
  <c r="F56" i="159"/>
  <c r="O55" i="159"/>
  <c r="N55" i="159"/>
  <c r="M55" i="159"/>
  <c r="L55" i="159"/>
  <c r="K55" i="159"/>
  <c r="J55" i="159"/>
  <c r="I55" i="159"/>
  <c r="H55" i="159"/>
  <c r="G55" i="159"/>
  <c r="F55" i="159"/>
  <c r="O54" i="159"/>
  <c r="N54" i="159"/>
  <c r="M54" i="159"/>
  <c r="L54" i="159"/>
  <c r="K54" i="159"/>
  <c r="J54" i="159"/>
  <c r="I54" i="159"/>
  <c r="H54" i="159"/>
  <c r="G54" i="159"/>
  <c r="F54" i="159"/>
  <c r="O53" i="159"/>
  <c r="N53" i="159"/>
  <c r="M53" i="159"/>
  <c r="L53" i="159"/>
  <c r="K53" i="159"/>
  <c r="J53" i="159"/>
  <c r="I53" i="159"/>
  <c r="H53" i="159"/>
  <c r="G53" i="159"/>
  <c r="F53" i="159"/>
  <c r="O52" i="159"/>
  <c r="N52" i="159"/>
  <c r="M52" i="159"/>
  <c r="L52" i="159"/>
  <c r="K52" i="159"/>
  <c r="J52" i="159"/>
  <c r="I52" i="159"/>
  <c r="H52" i="159"/>
  <c r="G52" i="159"/>
  <c r="F52" i="159"/>
  <c r="O51" i="159"/>
  <c r="N51" i="159"/>
  <c r="M51" i="159"/>
  <c r="L51" i="159"/>
  <c r="K51" i="159"/>
  <c r="J51" i="159"/>
  <c r="I51" i="159"/>
  <c r="H51" i="159"/>
  <c r="G51" i="159"/>
  <c r="F51" i="159"/>
  <c r="O50" i="159"/>
  <c r="N50" i="159"/>
  <c r="M50" i="159"/>
  <c r="L50" i="159"/>
  <c r="K50" i="159"/>
  <c r="J50" i="159"/>
  <c r="I50" i="159"/>
  <c r="H50" i="159"/>
  <c r="G50" i="159"/>
  <c r="F50" i="159"/>
  <c r="O49" i="159"/>
  <c r="N49" i="159"/>
  <c r="M49" i="159"/>
  <c r="L49" i="159"/>
  <c r="K49" i="159"/>
  <c r="J49" i="159"/>
  <c r="I49" i="159"/>
  <c r="H49" i="159"/>
  <c r="G49" i="159"/>
  <c r="F49" i="159"/>
  <c r="O45" i="159"/>
  <c r="N45" i="159"/>
  <c r="M45" i="159"/>
  <c r="L45" i="159"/>
  <c r="K45" i="159"/>
  <c r="J45" i="159"/>
  <c r="I45" i="159"/>
  <c r="H45" i="159"/>
  <c r="G45" i="159"/>
  <c r="F45" i="159"/>
  <c r="O41" i="159"/>
  <c r="N41" i="159"/>
  <c r="M41" i="159"/>
  <c r="L41" i="159"/>
  <c r="K41" i="159"/>
  <c r="J41" i="159"/>
  <c r="I41" i="159"/>
  <c r="H41" i="159"/>
  <c r="G41" i="159"/>
  <c r="F41" i="159"/>
  <c r="L39" i="159"/>
  <c r="O37" i="159"/>
  <c r="N37" i="159"/>
  <c r="M37" i="159"/>
  <c r="L37" i="159"/>
  <c r="K37" i="159"/>
  <c r="J37" i="159"/>
  <c r="I37" i="159"/>
  <c r="H37" i="159"/>
  <c r="G37" i="159"/>
  <c r="F37" i="159"/>
  <c r="O107" i="158"/>
  <c r="O107" i="158" a="1"/>
  <c r="M107" i="158"/>
  <c r="M107" i="158" a="1"/>
  <c r="K107" i="158"/>
  <c r="K107" i="158" a="1"/>
  <c r="I107" i="158"/>
  <c r="I107" i="158" a="1"/>
  <c r="G107" i="158"/>
  <c r="G107" i="158" a="1"/>
  <c r="O106" i="158"/>
  <c r="N106" i="158"/>
  <c r="M106" i="158"/>
  <c r="L106" i="158"/>
  <c r="K106" i="158"/>
  <c r="J106" i="158"/>
  <c r="I106" i="158"/>
  <c r="H106" i="158"/>
  <c r="G106" i="158"/>
  <c r="F106" i="158"/>
  <c r="O105" i="158"/>
  <c r="N105" i="158"/>
  <c r="M105" i="158"/>
  <c r="L105" i="158"/>
  <c r="K105" i="158"/>
  <c r="J105" i="158"/>
  <c r="I105" i="158"/>
  <c r="H105" i="158"/>
  <c r="G105" i="158"/>
  <c r="F105" i="158"/>
  <c r="O104" i="158"/>
  <c r="N104" i="158"/>
  <c r="M104" i="158"/>
  <c r="L104" i="158"/>
  <c r="K104" i="158"/>
  <c r="J104" i="158"/>
  <c r="I104" i="158"/>
  <c r="H104" i="158"/>
  <c r="G104" i="158"/>
  <c r="F104" i="158"/>
  <c r="O103" i="158"/>
  <c r="N103" i="158"/>
  <c r="M103" i="158"/>
  <c r="L103" i="158"/>
  <c r="K103" i="158"/>
  <c r="J103" i="158"/>
  <c r="I103" i="158"/>
  <c r="H103" i="158"/>
  <c r="G103" i="158"/>
  <c r="F103" i="158"/>
  <c r="O102" i="158"/>
  <c r="N102" i="158"/>
  <c r="M102" i="158"/>
  <c r="L102" i="158"/>
  <c r="K102" i="158"/>
  <c r="J102" i="158"/>
  <c r="I102" i="158"/>
  <c r="H102" i="158"/>
  <c r="G102" i="158"/>
  <c r="F102" i="158"/>
  <c r="O101" i="158"/>
  <c r="N101" i="158"/>
  <c r="M101" i="158"/>
  <c r="L101" i="158"/>
  <c r="K101" i="158"/>
  <c r="J101" i="158"/>
  <c r="I101" i="158"/>
  <c r="H101" i="158"/>
  <c r="G101" i="158"/>
  <c r="F101" i="158"/>
  <c r="O100" i="158"/>
  <c r="N100" i="158"/>
  <c r="M100" i="158"/>
  <c r="L100" i="158"/>
  <c r="K100" i="158"/>
  <c r="J100" i="158"/>
  <c r="I100" i="158"/>
  <c r="H100" i="158"/>
  <c r="G100" i="158"/>
  <c r="F100" i="158"/>
  <c r="O99" i="158"/>
  <c r="N99" i="158"/>
  <c r="M99" i="158"/>
  <c r="L99" i="158"/>
  <c r="K99" i="158"/>
  <c r="J99" i="158"/>
  <c r="I99" i="158"/>
  <c r="H99" i="158"/>
  <c r="G99" i="158"/>
  <c r="F99" i="158"/>
  <c r="O98" i="158"/>
  <c r="N98" i="158"/>
  <c r="M98" i="158"/>
  <c r="L98" i="158"/>
  <c r="K98" i="158"/>
  <c r="J98" i="158"/>
  <c r="I98" i="158"/>
  <c r="H98" i="158"/>
  <c r="G98" i="158"/>
  <c r="F98" i="158"/>
  <c r="O97" i="158"/>
  <c r="N97" i="158"/>
  <c r="M97" i="158"/>
  <c r="L97" i="158"/>
  <c r="K97" i="158"/>
  <c r="J97" i="158"/>
  <c r="I97" i="158"/>
  <c r="H97" i="158"/>
  <c r="G97" i="158"/>
  <c r="F97" i="158"/>
  <c r="O96" i="158"/>
  <c r="N96" i="158"/>
  <c r="M96" i="158"/>
  <c r="L96" i="158"/>
  <c r="K96" i="158"/>
  <c r="J96" i="158"/>
  <c r="I96" i="158"/>
  <c r="H96" i="158"/>
  <c r="G96" i="158"/>
  <c r="F96" i="158"/>
  <c r="O95" i="158"/>
  <c r="N95" i="158"/>
  <c r="M95" i="158"/>
  <c r="L95" i="158"/>
  <c r="K95" i="158"/>
  <c r="J95" i="158"/>
  <c r="I95" i="158"/>
  <c r="H95" i="158"/>
  <c r="G95" i="158"/>
  <c r="F95" i="158"/>
  <c r="O94" i="158"/>
  <c r="N94" i="158"/>
  <c r="M94" i="158"/>
  <c r="L94" i="158"/>
  <c r="K94" i="158"/>
  <c r="J94" i="158"/>
  <c r="I94" i="158"/>
  <c r="H94" i="158"/>
  <c r="G94" i="158"/>
  <c r="F94" i="158"/>
  <c r="O93" i="158"/>
  <c r="N93" i="158"/>
  <c r="M93" i="158"/>
  <c r="L93" i="158"/>
  <c r="K93" i="158"/>
  <c r="J93" i="158"/>
  <c r="I93" i="158"/>
  <c r="H93" i="158"/>
  <c r="G93" i="158"/>
  <c r="F93" i="158"/>
  <c r="O92" i="158"/>
  <c r="N92" i="158"/>
  <c r="M92" i="158"/>
  <c r="L92" i="158"/>
  <c r="K92" i="158"/>
  <c r="J92" i="158"/>
  <c r="I92" i="158"/>
  <c r="H92" i="158"/>
  <c r="G92" i="158"/>
  <c r="F92" i="158"/>
  <c r="O91" i="158"/>
  <c r="N91" i="158"/>
  <c r="M91" i="158"/>
  <c r="L91" i="158"/>
  <c r="K91" i="158"/>
  <c r="J91" i="158"/>
  <c r="I91" i="158"/>
  <c r="H91" i="158"/>
  <c r="G91" i="158"/>
  <c r="F91" i="158"/>
  <c r="O90" i="158"/>
  <c r="N90" i="158"/>
  <c r="M90" i="158"/>
  <c r="L90" i="158"/>
  <c r="K90" i="158"/>
  <c r="J90" i="158"/>
  <c r="I90" i="158"/>
  <c r="H90" i="158"/>
  <c r="G90" i="158"/>
  <c r="F90" i="158"/>
  <c r="O89" i="158"/>
  <c r="N89" i="158"/>
  <c r="M89" i="158"/>
  <c r="L89" i="158"/>
  <c r="K89" i="158"/>
  <c r="J89" i="158"/>
  <c r="I89" i="158"/>
  <c r="H89" i="158"/>
  <c r="G89" i="158"/>
  <c r="F89" i="158"/>
  <c r="O88" i="158"/>
  <c r="N88" i="158"/>
  <c r="M88" i="158"/>
  <c r="L88" i="158"/>
  <c r="K88" i="158"/>
  <c r="J88" i="158"/>
  <c r="I88" i="158"/>
  <c r="H88" i="158"/>
  <c r="G88" i="158"/>
  <c r="F88" i="158"/>
  <c r="O87" i="158"/>
  <c r="N87" i="158"/>
  <c r="M87" i="158"/>
  <c r="L87" i="158"/>
  <c r="K87" i="158"/>
  <c r="J87" i="158"/>
  <c r="I87" i="158"/>
  <c r="H87" i="158"/>
  <c r="G87" i="158"/>
  <c r="F87" i="158"/>
  <c r="O86" i="158"/>
  <c r="N86" i="158"/>
  <c r="M86" i="158"/>
  <c r="L86" i="158"/>
  <c r="K86" i="158"/>
  <c r="J86" i="158"/>
  <c r="I86" i="158"/>
  <c r="H86" i="158"/>
  <c r="G86" i="158"/>
  <c r="F86" i="158"/>
  <c r="O85" i="158"/>
  <c r="N85" i="158"/>
  <c r="M85" i="158"/>
  <c r="L85" i="158"/>
  <c r="K85" i="158"/>
  <c r="J85" i="158"/>
  <c r="I85" i="158"/>
  <c r="H85" i="158"/>
  <c r="G85" i="158"/>
  <c r="F85" i="158"/>
  <c r="O84" i="158"/>
  <c r="N84" i="158"/>
  <c r="M84" i="158"/>
  <c r="L84" i="158"/>
  <c r="K84" i="158"/>
  <c r="J84" i="158"/>
  <c r="I84" i="158"/>
  <c r="H84" i="158"/>
  <c r="G84" i="158"/>
  <c r="F84" i="158"/>
  <c r="O83" i="158"/>
  <c r="N83" i="158"/>
  <c r="M83" i="158"/>
  <c r="L83" i="158"/>
  <c r="K83" i="158"/>
  <c r="J83" i="158"/>
  <c r="I83" i="158"/>
  <c r="H83" i="158"/>
  <c r="G83" i="158"/>
  <c r="F83" i="158"/>
  <c r="O82" i="158"/>
  <c r="N82" i="158"/>
  <c r="M82" i="158"/>
  <c r="L82" i="158"/>
  <c r="K82" i="158"/>
  <c r="J82" i="158"/>
  <c r="I82" i="158"/>
  <c r="H82" i="158"/>
  <c r="G82" i="158"/>
  <c r="F82" i="158"/>
  <c r="O81" i="158"/>
  <c r="N81" i="158"/>
  <c r="M81" i="158"/>
  <c r="L81" i="158"/>
  <c r="K81" i="158"/>
  <c r="J81" i="158"/>
  <c r="I81" i="158"/>
  <c r="H81" i="158"/>
  <c r="G81" i="158"/>
  <c r="F81" i="158"/>
  <c r="O80" i="158"/>
  <c r="N80" i="158"/>
  <c r="M80" i="158"/>
  <c r="L80" i="158"/>
  <c r="K80" i="158"/>
  <c r="J80" i="158"/>
  <c r="I80" i="158"/>
  <c r="H80" i="158"/>
  <c r="G80" i="158"/>
  <c r="F80" i="158"/>
  <c r="O79" i="158"/>
  <c r="N79" i="158"/>
  <c r="M79" i="158"/>
  <c r="L79" i="158"/>
  <c r="K79" i="158"/>
  <c r="J79" i="158"/>
  <c r="I79" i="158"/>
  <c r="H79" i="158"/>
  <c r="G79" i="158"/>
  <c r="F79" i="158"/>
  <c r="O78" i="158"/>
  <c r="N78" i="158"/>
  <c r="M78" i="158"/>
  <c r="L78" i="158"/>
  <c r="K78" i="158"/>
  <c r="J78" i="158"/>
  <c r="I78" i="158"/>
  <c r="H78" i="158"/>
  <c r="G78" i="158"/>
  <c r="F78" i="158"/>
  <c r="O77" i="158"/>
  <c r="N77" i="158"/>
  <c r="M77" i="158"/>
  <c r="L77" i="158"/>
  <c r="K77" i="158"/>
  <c r="J77" i="158"/>
  <c r="I77" i="158"/>
  <c r="H77" i="158"/>
  <c r="G77" i="158"/>
  <c r="F77" i="158"/>
  <c r="O76" i="158"/>
  <c r="N76" i="158"/>
  <c r="M76" i="158"/>
  <c r="L76" i="158"/>
  <c r="K76" i="158"/>
  <c r="J76" i="158"/>
  <c r="I76" i="158"/>
  <c r="H76" i="158"/>
  <c r="G76" i="158"/>
  <c r="F76" i="158"/>
  <c r="O75" i="158"/>
  <c r="N75" i="158"/>
  <c r="M75" i="158"/>
  <c r="L75" i="158"/>
  <c r="K75" i="158"/>
  <c r="J75" i="158"/>
  <c r="I75" i="158"/>
  <c r="H75" i="158"/>
  <c r="G75" i="158"/>
  <c r="F75" i="158"/>
  <c r="O74" i="158"/>
  <c r="N74" i="158"/>
  <c r="M74" i="158"/>
  <c r="L74" i="158"/>
  <c r="K74" i="158"/>
  <c r="J74" i="158"/>
  <c r="I74" i="158"/>
  <c r="H74" i="158"/>
  <c r="G74" i="158"/>
  <c r="F74" i="158"/>
  <c r="O73" i="158"/>
  <c r="N73" i="158"/>
  <c r="M73" i="158"/>
  <c r="L73" i="158"/>
  <c r="K73" i="158"/>
  <c r="J73" i="158"/>
  <c r="I73" i="158"/>
  <c r="H73" i="158"/>
  <c r="G73" i="158"/>
  <c r="F73" i="158"/>
  <c r="O72" i="158"/>
  <c r="N72" i="158"/>
  <c r="M72" i="158"/>
  <c r="L72" i="158"/>
  <c r="K72" i="158"/>
  <c r="J72" i="158"/>
  <c r="I72" i="158"/>
  <c r="H72" i="158"/>
  <c r="G72" i="158"/>
  <c r="F72" i="158"/>
  <c r="O71" i="158"/>
  <c r="N71" i="158"/>
  <c r="M71" i="158"/>
  <c r="L71" i="158"/>
  <c r="K71" i="158"/>
  <c r="J71" i="158"/>
  <c r="I71" i="158"/>
  <c r="H71" i="158"/>
  <c r="G71" i="158"/>
  <c r="F71" i="158"/>
  <c r="O70" i="158"/>
  <c r="N70" i="158"/>
  <c r="M70" i="158"/>
  <c r="L70" i="158"/>
  <c r="K70" i="158"/>
  <c r="J70" i="158"/>
  <c r="I70" i="158"/>
  <c r="H70" i="158"/>
  <c r="G70" i="158"/>
  <c r="F70" i="158"/>
  <c r="O69" i="158"/>
  <c r="N69" i="158"/>
  <c r="M69" i="158"/>
  <c r="L69" i="158"/>
  <c r="K69" i="158"/>
  <c r="J69" i="158"/>
  <c r="I69" i="158"/>
  <c r="H69" i="158"/>
  <c r="G69" i="158"/>
  <c r="F69" i="158"/>
  <c r="O68" i="158"/>
  <c r="N68" i="158"/>
  <c r="M68" i="158"/>
  <c r="L68" i="158"/>
  <c r="K68" i="158"/>
  <c r="J68" i="158"/>
  <c r="I68" i="158"/>
  <c r="H68" i="158"/>
  <c r="G68" i="158"/>
  <c r="F68" i="158"/>
  <c r="O67" i="158"/>
  <c r="N67" i="158"/>
  <c r="M67" i="158"/>
  <c r="L67" i="158"/>
  <c r="K67" i="158"/>
  <c r="J67" i="158"/>
  <c r="I67" i="158"/>
  <c r="H67" i="158"/>
  <c r="G67" i="158"/>
  <c r="F67" i="158"/>
  <c r="O66" i="158"/>
  <c r="N66" i="158"/>
  <c r="M66" i="158"/>
  <c r="L66" i="158"/>
  <c r="K66" i="158"/>
  <c r="J66" i="158"/>
  <c r="I66" i="158"/>
  <c r="H66" i="158"/>
  <c r="G66" i="158"/>
  <c r="F66" i="158"/>
  <c r="O65" i="158"/>
  <c r="N65" i="158"/>
  <c r="M65" i="158"/>
  <c r="L65" i="158"/>
  <c r="K65" i="158"/>
  <c r="J65" i="158"/>
  <c r="I65" i="158"/>
  <c r="H65" i="158"/>
  <c r="G65" i="158"/>
  <c r="F65" i="158"/>
  <c r="O64" i="158"/>
  <c r="N64" i="158"/>
  <c r="M64" i="158"/>
  <c r="L64" i="158"/>
  <c r="K64" i="158"/>
  <c r="J64" i="158"/>
  <c r="I64" i="158"/>
  <c r="H64" i="158"/>
  <c r="G64" i="158"/>
  <c r="F64" i="158"/>
  <c r="O63" i="158"/>
  <c r="N63" i="158"/>
  <c r="M63" i="158"/>
  <c r="L63" i="158"/>
  <c r="K63" i="158"/>
  <c r="J63" i="158"/>
  <c r="I63" i="158"/>
  <c r="H63" i="158"/>
  <c r="G63" i="158"/>
  <c r="F63" i="158"/>
  <c r="O62" i="158"/>
  <c r="N62" i="158"/>
  <c r="M62" i="158"/>
  <c r="L62" i="158"/>
  <c r="K62" i="158"/>
  <c r="J62" i="158"/>
  <c r="I62" i="158"/>
  <c r="H62" i="158"/>
  <c r="G62" i="158"/>
  <c r="F62" i="158"/>
  <c r="O61" i="158"/>
  <c r="N61" i="158"/>
  <c r="M61" i="158"/>
  <c r="L61" i="158"/>
  <c r="K61" i="158"/>
  <c r="J61" i="158"/>
  <c r="I61" i="158"/>
  <c r="H61" i="158"/>
  <c r="G61" i="158"/>
  <c r="F61" i="158"/>
  <c r="O60" i="158"/>
  <c r="N60" i="158"/>
  <c r="M60" i="158"/>
  <c r="L60" i="158"/>
  <c r="K60" i="158"/>
  <c r="J60" i="158"/>
  <c r="I60" i="158"/>
  <c r="H60" i="158"/>
  <c r="G60" i="158"/>
  <c r="F60" i="158"/>
  <c r="O59" i="158"/>
  <c r="N59" i="158"/>
  <c r="M59" i="158"/>
  <c r="L59" i="158"/>
  <c r="K59" i="158"/>
  <c r="J59" i="158"/>
  <c r="I59" i="158"/>
  <c r="H59" i="158"/>
  <c r="G59" i="158"/>
  <c r="F59" i="158"/>
  <c r="O58" i="158"/>
  <c r="N58" i="158"/>
  <c r="M58" i="158"/>
  <c r="L58" i="158"/>
  <c r="K58" i="158"/>
  <c r="J58" i="158"/>
  <c r="I58" i="158"/>
  <c r="H58" i="158"/>
  <c r="G58" i="158"/>
  <c r="F58" i="158"/>
  <c r="O57" i="158"/>
  <c r="N57" i="158"/>
  <c r="M57" i="158"/>
  <c r="L57" i="158"/>
  <c r="K57" i="158"/>
  <c r="J57" i="158"/>
  <c r="I57" i="158"/>
  <c r="H57" i="158"/>
  <c r="G57" i="158"/>
  <c r="F57" i="158"/>
  <c r="O56" i="158"/>
  <c r="N56" i="158"/>
  <c r="M56" i="158"/>
  <c r="L56" i="158"/>
  <c r="K56" i="158"/>
  <c r="J56" i="158"/>
  <c r="I56" i="158"/>
  <c r="H56" i="158"/>
  <c r="G56" i="158"/>
  <c r="F56" i="158"/>
  <c r="O55" i="158"/>
  <c r="N55" i="158"/>
  <c r="M55" i="158"/>
  <c r="L55" i="158"/>
  <c r="K55" i="158"/>
  <c r="J55" i="158"/>
  <c r="I55" i="158"/>
  <c r="H55" i="158"/>
  <c r="G55" i="158"/>
  <c r="F55" i="158"/>
  <c r="O54" i="158"/>
  <c r="N54" i="158"/>
  <c r="M54" i="158"/>
  <c r="L54" i="158"/>
  <c r="K54" i="158"/>
  <c r="J54" i="158"/>
  <c r="I54" i="158"/>
  <c r="H54" i="158"/>
  <c r="G54" i="158"/>
  <c r="F54" i="158"/>
  <c r="O53" i="158"/>
  <c r="N53" i="158"/>
  <c r="M53" i="158"/>
  <c r="L53" i="158"/>
  <c r="K53" i="158"/>
  <c r="J53" i="158"/>
  <c r="I53" i="158"/>
  <c r="H53" i="158"/>
  <c r="G53" i="158"/>
  <c r="F53" i="158"/>
  <c r="O52" i="158"/>
  <c r="N52" i="158"/>
  <c r="M52" i="158"/>
  <c r="L52" i="158"/>
  <c r="K52" i="158"/>
  <c r="J52" i="158"/>
  <c r="I52" i="158"/>
  <c r="H52" i="158"/>
  <c r="G52" i="158"/>
  <c r="F52" i="158"/>
  <c r="O51" i="158"/>
  <c r="N51" i="158"/>
  <c r="M51" i="158"/>
  <c r="L51" i="158"/>
  <c r="K51" i="158"/>
  <c r="J51" i="158"/>
  <c r="I51" i="158"/>
  <c r="H51" i="158"/>
  <c r="G51" i="158"/>
  <c r="F51" i="158"/>
  <c r="O50" i="158"/>
  <c r="N50" i="158"/>
  <c r="M50" i="158"/>
  <c r="L50" i="158"/>
  <c r="K50" i="158"/>
  <c r="J50" i="158"/>
  <c r="I50" i="158"/>
  <c r="H50" i="158"/>
  <c r="G50" i="158"/>
  <c r="F50" i="158"/>
  <c r="O49" i="158"/>
  <c r="N49" i="158"/>
  <c r="M49" i="158"/>
  <c r="L49" i="158"/>
  <c r="K49" i="158"/>
  <c r="J49" i="158"/>
  <c r="I49" i="158"/>
  <c r="H49" i="158"/>
  <c r="G49" i="158"/>
  <c r="F49" i="158"/>
  <c r="O45" i="158"/>
  <c r="N45" i="158"/>
  <c r="M45" i="158"/>
  <c r="L45" i="158"/>
  <c r="K45" i="158"/>
  <c r="J45" i="158"/>
  <c r="I45" i="158"/>
  <c r="H45" i="158"/>
  <c r="G45" i="158"/>
  <c r="F45" i="158"/>
  <c r="O41" i="158"/>
  <c r="N41" i="158"/>
  <c r="M41" i="158"/>
  <c r="L41" i="158"/>
  <c r="K41" i="158"/>
  <c r="J41" i="158"/>
  <c r="I41" i="158"/>
  <c r="H41" i="158"/>
  <c r="G41" i="158"/>
  <c r="F41" i="158"/>
  <c r="O37" i="158"/>
  <c r="N37" i="158"/>
  <c r="M37" i="158"/>
  <c r="L37" i="158"/>
  <c r="K37" i="158"/>
  <c r="J37" i="158"/>
  <c r="I37" i="158"/>
  <c r="H37" i="158"/>
  <c r="G37" i="158"/>
  <c r="F37" i="158"/>
  <c r="O99" i="157"/>
  <c r="O99" i="157" a="1"/>
  <c r="M99" i="157"/>
  <c r="M99" i="157" a="1"/>
  <c r="K99" i="157"/>
  <c r="K99" i="157" a="1"/>
  <c r="I99" i="157"/>
  <c r="I99" i="157" a="1"/>
  <c r="G99" i="157"/>
  <c r="G99" i="157" a="1"/>
  <c r="O98" i="157"/>
  <c r="N98" i="157"/>
  <c r="M98" i="157"/>
  <c r="L98" i="157"/>
  <c r="K98" i="157"/>
  <c r="J98" i="157"/>
  <c r="I98" i="157"/>
  <c r="H98" i="157"/>
  <c r="G98" i="157"/>
  <c r="F98" i="157"/>
  <c r="O97" i="157"/>
  <c r="N97" i="157"/>
  <c r="M97" i="157"/>
  <c r="L97" i="157"/>
  <c r="K97" i="157"/>
  <c r="J97" i="157"/>
  <c r="I97" i="157"/>
  <c r="H97" i="157"/>
  <c r="G97" i="157"/>
  <c r="F97" i="157"/>
  <c r="O96" i="157"/>
  <c r="N96" i="157"/>
  <c r="M96" i="157"/>
  <c r="L96" i="157"/>
  <c r="K96" i="157"/>
  <c r="J96" i="157"/>
  <c r="I96" i="157"/>
  <c r="H96" i="157"/>
  <c r="G96" i="157"/>
  <c r="F96" i="157"/>
  <c r="O95" i="157"/>
  <c r="N95" i="157"/>
  <c r="M95" i="157"/>
  <c r="L95" i="157"/>
  <c r="K95" i="157"/>
  <c r="J95" i="157"/>
  <c r="I95" i="157"/>
  <c r="H95" i="157"/>
  <c r="G95" i="157"/>
  <c r="F95" i="157"/>
  <c r="O94" i="157"/>
  <c r="N94" i="157"/>
  <c r="M94" i="157"/>
  <c r="L94" i="157"/>
  <c r="K94" i="157"/>
  <c r="J94" i="157"/>
  <c r="I94" i="157"/>
  <c r="H94" i="157"/>
  <c r="G94" i="157"/>
  <c r="F94" i="157"/>
  <c r="O93" i="157"/>
  <c r="N93" i="157"/>
  <c r="M93" i="157"/>
  <c r="L93" i="157"/>
  <c r="K93" i="157"/>
  <c r="J93" i="157"/>
  <c r="I93" i="157"/>
  <c r="H93" i="157"/>
  <c r="G93" i="157"/>
  <c r="F93" i="157"/>
  <c r="O92" i="157"/>
  <c r="N92" i="157"/>
  <c r="M92" i="157"/>
  <c r="L92" i="157"/>
  <c r="K92" i="157"/>
  <c r="J92" i="157"/>
  <c r="I92" i="157"/>
  <c r="H92" i="157"/>
  <c r="G92" i="157"/>
  <c r="F92" i="157"/>
  <c r="O91" i="157"/>
  <c r="N91" i="157"/>
  <c r="M91" i="157"/>
  <c r="L91" i="157"/>
  <c r="K91" i="157"/>
  <c r="J91" i="157"/>
  <c r="I91" i="157"/>
  <c r="H91" i="157"/>
  <c r="G91" i="157"/>
  <c r="F91" i="157"/>
  <c r="O90" i="157"/>
  <c r="N90" i="157"/>
  <c r="M90" i="157"/>
  <c r="L90" i="157"/>
  <c r="K90" i="157"/>
  <c r="J90" i="157"/>
  <c r="I90" i="157"/>
  <c r="H90" i="157"/>
  <c r="G90" i="157"/>
  <c r="F90" i="157"/>
  <c r="O89" i="157"/>
  <c r="N89" i="157"/>
  <c r="M89" i="157"/>
  <c r="L89" i="157"/>
  <c r="K89" i="157"/>
  <c r="J89" i="157"/>
  <c r="I89" i="157"/>
  <c r="H89" i="157"/>
  <c r="G89" i="157"/>
  <c r="F89" i="157"/>
  <c r="O88" i="157"/>
  <c r="N88" i="157"/>
  <c r="M88" i="157"/>
  <c r="L88" i="157"/>
  <c r="K88" i="157"/>
  <c r="J88" i="157"/>
  <c r="I88" i="157"/>
  <c r="H88" i="157"/>
  <c r="G88" i="157"/>
  <c r="F88" i="157"/>
  <c r="O87" i="157"/>
  <c r="N87" i="157"/>
  <c r="M87" i="157"/>
  <c r="L87" i="157"/>
  <c r="K87" i="157"/>
  <c r="J87" i="157"/>
  <c r="I87" i="157"/>
  <c r="H87" i="157"/>
  <c r="G87" i="157"/>
  <c r="F87" i="157"/>
  <c r="O86" i="157"/>
  <c r="N86" i="157"/>
  <c r="M86" i="157"/>
  <c r="L86" i="157"/>
  <c r="K86" i="157"/>
  <c r="J86" i="157"/>
  <c r="I86" i="157"/>
  <c r="H86" i="157"/>
  <c r="G86" i="157"/>
  <c r="F86" i="157"/>
  <c r="O85" i="157"/>
  <c r="N85" i="157"/>
  <c r="M85" i="157"/>
  <c r="L85" i="157"/>
  <c r="K85" i="157"/>
  <c r="J85" i="157"/>
  <c r="I85" i="157"/>
  <c r="H85" i="157"/>
  <c r="G85" i="157"/>
  <c r="F85" i="157"/>
  <c r="O84" i="157"/>
  <c r="N84" i="157"/>
  <c r="M84" i="157"/>
  <c r="L84" i="157"/>
  <c r="K84" i="157"/>
  <c r="J84" i="157"/>
  <c r="I84" i="157"/>
  <c r="H84" i="157"/>
  <c r="G84" i="157"/>
  <c r="F84" i="157"/>
  <c r="O83" i="157"/>
  <c r="N83" i="157"/>
  <c r="M83" i="157"/>
  <c r="L83" i="157"/>
  <c r="K83" i="157"/>
  <c r="J83" i="157"/>
  <c r="I83" i="157"/>
  <c r="H83" i="157"/>
  <c r="G83" i="157"/>
  <c r="F83" i="157"/>
  <c r="O82" i="157"/>
  <c r="N82" i="157"/>
  <c r="M82" i="157"/>
  <c r="L82" i="157"/>
  <c r="K82" i="157"/>
  <c r="J82" i="157"/>
  <c r="I82" i="157"/>
  <c r="H82" i="157"/>
  <c r="G82" i="157"/>
  <c r="F82" i="157"/>
  <c r="O81" i="157"/>
  <c r="N81" i="157"/>
  <c r="M81" i="157"/>
  <c r="L81" i="157"/>
  <c r="K81" i="157"/>
  <c r="J81" i="157"/>
  <c r="I81" i="157"/>
  <c r="H81" i="157"/>
  <c r="G81" i="157"/>
  <c r="F81" i="157"/>
  <c r="O80" i="157"/>
  <c r="N80" i="157"/>
  <c r="M80" i="157"/>
  <c r="L80" i="157"/>
  <c r="K80" i="157"/>
  <c r="J80" i="157"/>
  <c r="I80" i="157"/>
  <c r="H80" i="157"/>
  <c r="G80" i="157"/>
  <c r="F80" i="157"/>
  <c r="O79" i="157"/>
  <c r="N79" i="157"/>
  <c r="M79" i="157"/>
  <c r="L79" i="157"/>
  <c r="K79" i="157"/>
  <c r="J79" i="157"/>
  <c r="I79" i="157"/>
  <c r="H79" i="157"/>
  <c r="G79" i="157"/>
  <c r="F79" i="157"/>
  <c r="O78" i="157"/>
  <c r="N78" i="157"/>
  <c r="M78" i="157"/>
  <c r="L78" i="157"/>
  <c r="K78" i="157"/>
  <c r="J78" i="157"/>
  <c r="I78" i="157"/>
  <c r="H78" i="157"/>
  <c r="G78" i="157"/>
  <c r="F78" i="157"/>
  <c r="O77" i="157"/>
  <c r="N77" i="157"/>
  <c r="M77" i="157"/>
  <c r="L77" i="157"/>
  <c r="K77" i="157"/>
  <c r="J77" i="157"/>
  <c r="I77" i="157"/>
  <c r="H77" i="157"/>
  <c r="G77" i="157"/>
  <c r="F77" i="157"/>
  <c r="O76" i="157"/>
  <c r="N76" i="157"/>
  <c r="M76" i="157"/>
  <c r="L76" i="157"/>
  <c r="K76" i="157"/>
  <c r="J76" i="157"/>
  <c r="I76" i="157"/>
  <c r="H76" i="157"/>
  <c r="G76" i="157"/>
  <c r="F76" i="157"/>
  <c r="O75" i="157"/>
  <c r="N75" i="157"/>
  <c r="M75" i="157"/>
  <c r="L75" i="157"/>
  <c r="K75" i="157"/>
  <c r="J75" i="157"/>
  <c r="I75" i="157"/>
  <c r="H75" i="157"/>
  <c r="G75" i="157"/>
  <c r="F75" i="157"/>
  <c r="O74" i="157"/>
  <c r="N74" i="157"/>
  <c r="M74" i="157"/>
  <c r="L74" i="157"/>
  <c r="K74" i="157"/>
  <c r="J74" i="157"/>
  <c r="I74" i="157"/>
  <c r="H74" i="157"/>
  <c r="G74" i="157"/>
  <c r="F74" i="157"/>
  <c r="O73" i="157"/>
  <c r="N73" i="157"/>
  <c r="M73" i="157"/>
  <c r="L73" i="157"/>
  <c r="K73" i="157"/>
  <c r="J73" i="157"/>
  <c r="I73" i="157"/>
  <c r="H73" i="157"/>
  <c r="G73" i="157"/>
  <c r="F73" i="157"/>
  <c r="O72" i="157"/>
  <c r="N72" i="157"/>
  <c r="M72" i="157"/>
  <c r="L72" i="157"/>
  <c r="K72" i="157"/>
  <c r="J72" i="157"/>
  <c r="I72" i="157"/>
  <c r="H72" i="157"/>
  <c r="G72" i="157"/>
  <c r="F72" i="157"/>
  <c r="O71" i="157"/>
  <c r="N71" i="157"/>
  <c r="M71" i="157"/>
  <c r="L71" i="157"/>
  <c r="K71" i="157"/>
  <c r="J71" i="157"/>
  <c r="I71" i="157"/>
  <c r="H71" i="157"/>
  <c r="G71" i="157"/>
  <c r="F71" i="157"/>
  <c r="O70" i="157"/>
  <c r="N70" i="157"/>
  <c r="M70" i="157"/>
  <c r="L70" i="157"/>
  <c r="K70" i="157"/>
  <c r="J70" i="157"/>
  <c r="I70" i="157"/>
  <c r="H70" i="157"/>
  <c r="G70" i="157"/>
  <c r="F70" i="157"/>
  <c r="O69" i="157"/>
  <c r="N69" i="157"/>
  <c r="M69" i="157"/>
  <c r="L69" i="157"/>
  <c r="K69" i="157"/>
  <c r="J69" i="157"/>
  <c r="I69" i="157"/>
  <c r="H69" i="157"/>
  <c r="G69" i="157"/>
  <c r="F69" i="157"/>
  <c r="O68" i="157"/>
  <c r="N68" i="157"/>
  <c r="M68" i="157"/>
  <c r="L68" i="157"/>
  <c r="K68" i="157"/>
  <c r="J68" i="157"/>
  <c r="I68" i="157"/>
  <c r="H68" i="157"/>
  <c r="G68" i="157"/>
  <c r="F68" i="157"/>
  <c r="O67" i="157"/>
  <c r="N67" i="157"/>
  <c r="M67" i="157"/>
  <c r="L67" i="157"/>
  <c r="K67" i="157"/>
  <c r="J67" i="157"/>
  <c r="I67" i="157"/>
  <c r="H67" i="157"/>
  <c r="G67" i="157"/>
  <c r="F67" i="157"/>
  <c r="O66" i="157"/>
  <c r="N66" i="157"/>
  <c r="M66" i="157"/>
  <c r="L66" i="157"/>
  <c r="K66" i="157"/>
  <c r="J66" i="157"/>
  <c r="I66" i="157"/>
  <c r="H66" i="157"/>
  <c r="G66" i="157"/>
  <c r="F66" i="157"/>
  <c r="O65" i="157"/>
  <c r="N65" i="157"/>
  <c r="M65" i="157"/>
  <c r="L65" i="157"/>
  <c r="K65" i="157"/>
  <c r="J65" i="157"/>
  <c r="I65" i="157"/>
  <c r="H65" i="157"/>
  <c r="G65" i="157"/>
  <c r="F65" i="157"/>
  <c r="O64" i="157"/>
  <c r="N64" i="157"/>
  <c r="M64" i="157"/>
  <c r="L64" i="157"/>
  <c r="K64" i="157"/>
  <c r="J64" i="157"/>
  <c r="I64" i="157"/>
  <c r="H64" i="157"/>
  <c r="G64" i="157"/>
  <c r="F64" i="157"/>
  <c r="O63" i="157"/>
  <c r="N63" i="157"/>
  <c r="M63" i="157"/>
  <c r="L63" i="157"/>
  <c r="K63" i="157"/>
  <c r="J63" i="157"/>
  <c r="I63" i="157"/>
  <c r="H63" i="157"/>
  <c r="G63" i="157"/>
  <c r="F63" i="157"/>
  <c r="O62" i="157"/>
  <c r="N62" i="157"/>
  <c r="M62" i="157"/>
  <c r="L62" i="157"/>
  <c r="K62" i="157"/>
  <c r="J62" i="157"/>
  <c r="I62" i="157"/>
  <c r="H62" i="157"/>
  <c r="G62" i="157"/>
  <c r="F62" i="157"/>
  <c r="O61" i="157"/>
  <c r="N61" i="157"/>
  <c r="M61" i="157"/>
  <c r="L61" i="157"/>
  <c r="K61" i="157"/>
  <c r="J61" i="157"/>
  <c r="I61" i="157"/>
  <c r="H61" i="157"/>
  <c r="G61" i="157"/>
  <c r="F61" i="157"/>
  <c r="O60" i="157"/>
  <c r="N60" i="157"/>
  <c r="M60" i="157"/>
  <c r="L60" i="157"/>
  <c r="K60" i="157"/>
  <c r="J60" i="157"/>
  <c r="I60" i="157"/>
  <c r="H60" i="157"/>
  <c r="G60" i="157"/>
  <c r="F60" i="157"/>
  <c r="O59" i="157"/>
  <c r="N59" i="157"/>
  <c r="M59" i="157"/>
  <c r="L59" i="157"/>
  <c r="K59" i="157"/>
  <c r="J59" i="157"/>
  <c r="I59" i="157"/>
  <c r="H59" i="157"/>
  <c r="G59" i="157"/>
  <c r="F59" i="157"/>
  <c r="O58" i="157"/>
  <c r="N58" i="157"/>
  <c r="M58" i="157"/>
  <c r="L58" i="157"/>
  <c r="K58" i="157"/>
  <c r="J58" i="157"/>
  <c r="I58" i="157"/>
  <c r="H58" i="157"/>
  <c r="G58" i="157"/>
  <c r="F58" i="157"/>
  <c r="O57" i="157"/>
  <c r="N57" i="157"/>
  <c r="M57" i="157"/>
  <c r="L57" i="157"/>
  <c r="K57" i="157"/>
  <c r="J57" i="157"/>
  <c r="I57" i="157"/>
  <c r="H57" i="157"/>
  <c r="G57" i="157"/>
  <c r="F57" i="157"/>
  <c r="O56" i="157"/>
  <c r="N56" i="157"/>
  <c r="M56" i="157"/>
  <c r="L56" i="157"/>
  <c r="K56" i="157"/>
  <c r="J56" i="157"/>
  <c r="I56" i="157"/>
  <c r="H56" i="157"/>
  <c r="G56" i="157"/>
  <c r="F56" i="157"/>
  <c r="O55" i="157"/>
  <c r="N55" i="157"/>
  <c r="M55" i="157"/>
  <c r="L55" i="157"/>
  <c r="K55" i="157"/>
  <c r="J55" i="157"/>
  <c r="I55" i="157"/>
  <c r="H55" i="157"/>
  <c r="G55" i="157"/>
  <c r="F55" i="157"/>
  <c r="O54" i="157"/>
  <c r="N54" i="157"/>
  <c r="M54" i="157"/>
  <c r="L54" i="157"/>
  <c r="K54" i="157"/>
  <c r="J54" i="157"/>
  <c r="I54" i="157"/>
  <c r="H54" i="157"/>
  <c r="G54" i="157"/>
  <c r="F54" i="157"/>
  <c r="O53" i="157"/>
  <c r="N53" i="157"/>
  <c r="M53" i="157"/>
  <c r="L53" i="157"/>
  <c r="K53" i="157"/>
  <c r="J53" i="157"/>
  <c r="I53" i="157"/>
  <c r="H53" i="157"/>
  <c r="G53" i="157"/>
  <c r="F53" i="157"/>
  <c r="O52" i="157"/>
  <c r="N52" i="157"/>
  <c r="M52" i="157"/>
  <c r="L52" i="157"/>
  <c r="K52" i="157"/>
  <c r="J52" i="157"/>
  <c r="I52" i="157"/>
  <c r="H52" i="157"/>
  <c r="G52" i="157"/>
  <c r="F52" i="157"/>
  <c r="O51" i="157"/>
  <c r="N51" i="157"/>
  <c r="M51" i="157"/>
  <c r="L51" i="157"/>
  <c r="K51" i="157"/>
  <c r="J51" i="157"/>
  <c r="I51" i="157"/>
  <c r="H51" i="157"/>
  <c r="G51" i="157"/>
  <c r="F51" i="157"/>
  <c r="O50" i="157"/>
  <c r="N50" i="157"/>
  <c r="M50" i="157"/>
  <c r="L50" i="157"/>
  <c r="K50" i="157"/>
  <c r="J50" i="157"/>
  <c r="I50" i="157"/>
  <c r="H50" i="157"/>
  <c r="G50" i="157"/>
  <c r="F50" i="157"/>
  <c r="O49" i="157"/>
  <c r="N49" i="157"/>
  <c r="M49" i="157"/>
  <c r="L49" i="157"/>
  <c r="K49" i="157"/>
  <c r="J49" i="157"/>
  <c r="I49" i="157"/>
  <c r="H49" i="157"/>
  <c r="G49" i="157"/>
  <c r="F49" i="157"/>
  <c r="O48" i="157"/>
  <c r="N48" i="157"/>
  <c r="M48" i="157"/>
  <c r="L48" i="157"/>
  <c r="K48" i="157"/>
  <c r="J48" i="157"/>
  <c r="I48" i="157"/>
  <c r="H48" i="157"/>
  <c r="G48" i="157"/>
  <c r="F48" i="157"/>
  <c r="O44" i="157"/>
  <c r="N44" i="157"/>
  <c r="M44" i="157"/>
  <c r="L44" i="157"/>
  <c r="K44" i="157"/>
  <c r="J44" i="157"/>
  <c r="I44" i="157"/>
  <c r="H44" i="157"/>
  <c r="G44" i="157"/>
  <c r="F44" i="157"/>
  <c r="O40" i="157"/>
  <c r="N40" i="157"/>
  <c r="M40" i="157"/>
  <c r="L40" i="157"/>
  <c r="K40" i="157"/>
  <c r="J40" i="157"/>
  <c r="I40" i="157"/>
  <c r="H40" i="157"/>
  <c r="G40" i="157"/>
  <c r="F40" i="157"/>
  <c r="O36" i="157"/>
  <c r="N36" i="157"/>
  <c r="M36" i="157"/>
  <c r="L36" i="157"/>
  <c r="K36" i="157"/>
  <c r="J36" i="157"/>
  <c r="I36" i="157"/>
  <c r="H36" i="157"/>
  <c r="G36" i="157"/>
  <c r="F36" i="157"/>
  <c r="O98" i="155"/>
  <c r="O98" i="155" a="1"/>
  <c r="M98" i="155"/>
  <c r="M98" i="155" a="1"/>
  <c r="K98" i="155"/>
  <c r="K98" i="155" a="1"/>
  <c r="I98" i="155"/>
  <c r="I98" i="155" a="1"/>
  <c r="G98" i="155"/>
  <c r="G98" i="155" a="1"/>
  <c r="O97" i="155"/>
  <c r="N97" i="155"/>
  <c r="M97" i="155"/>
  <c r="L97" i="155"/>
  <c r="K97" i="155"/>
  <c r="J97" i="155"/>
  <c r="I97" i="155"/>
  <c r="H97" i="155"/>
  <c r="G97" i="155"/>
  <c r="F97" i="155"/>
  <c r="O96" i="155"/>
  <c r="N96" i="155"/>
  <c r="M96" i="155"/>
  <c r="L96" i="155"/>
  <c r="K96" i="155"/>
  <c r="J96" i="155"/>
  <c r="I96" i="155"/>
  <c r="H96" i="155"/>
  <c r="G96" i="155"/>
  <c r="F96" i="155"/>
  <c r="O95" i="155"/>
  <c r="N95" i="155"/>
  <c r="M95" i="155"/>
  <c r="L95" i="155"/>
  <c r="K95" i="155"/>
  <c r="J95" i="155"/>
  <c r="I95" i="155"/>
  <c r="H95" i="155"/>
  <c r="G95" i="155"/>
  <c r="F95" i="155"/>
  <c r="O94" i="155"/>
  <c r="N94" i="155"/>
  <c r="M94" i="155"/>
  <c r="L94" i="155"/>
  <c r="K94" i="155"/>
  <c r="J94" i="155"/>
  <c r="I94" i="155"/>
  <c r="H94" i="155"/>
  <c r="G94" i="155"/>
  <c r="F94" i="155"/>
  <c r="O93" i="155"/>
  <c r="N93" i="155"/>
  <c r="M93" i="155"/>
  <c r="L93" i="155"/>
  <c r="K93" i="155"/>
  <c r="J93" i="155"/>
  <c r="I93" i="155"/>
  <c r="H93" i="155"/>
  <c r="G93" i="155"/>
  <c r="F93" i="155"/>
  <c r="O92" i="155"/>
  <c r="N92" i="155"/>
  <c r="M92" i="155"/>
  <c r="L92" i="155"/>
  <c r="K92" i="155"/>
  <c r="J92" i="155"/>
  <c r="I92" i="155"/>
  <c r="H92" i="155"/>
  <c r="G92" i="155"/>
  <c r="F92" i="155"/>
  <c r="O91" i="155"/>
  <c r="N91" i="155"/>
  <c r="M91" i="155"/>
  <c r="L91" i="155"/>
  <c r="K91" i="155"/>
  <c r="J91" i="155"/>
  <c r="I91" i="155"/>
  <c r="H91" i="155"/>
  <c r="G91" i="155"/>
  <c r="F91" i="155"/>
  <c r="O90" i="155"/>
  <c r="N90" i="155"/>
  <c r="M90" i="155"/>
  <c r="L90" i="155"/>
  <c r="K90" i="155"/>
  <c r="J90" i="155"/>
  <c r="I90" i="155"/>
  <c r="H90" i="155"/>
  <c r="G90" i="155"/>
  <c r="F90" i="155"/>
  <c r="O89" i="155"/>
  <c r="N89" i="155"/>
  <c r="M89" i="155"/>
  <c r="L89" i="155"/>
  <c r="K89" i="155"/>
  <c r="J89" i="155"/>
  <c r="I89" i="155"/>
  <c r="H89" i="155"/>
  <c r="G89" i="155"/>
  <c r="F89" i="155"/>
  <c r="O88" i="155"/>
  <c r="N88" i="155"/>
  <c r="M88" i="155"/>
  <c r="L88" i="155"/>
  <c r="K88" i="155"/>
  <c r="J88" i="155"/>
  <c r="I88" i="155"/>
  <c r="H88" i="155"/>
  <c r="G88" i="155"/>
  <c r="F88" i="155"/>
  <c r="O87" i="155"/>
  <c r="N87" i="155"/>
  <c r="M87" i="155"/>
  <c r="L87" i="155"/>
  <c r="K87" i="155"/>
  <c r="J87" i="155"/>
  <c r="I87" i="155"/>
  <c r="H87" i="155"/>
  <c r="G87" i="155"/>
  <c r="F87" i="155"/>
  <c r="O86" i="155"/>
  <c r="N86" i="155"/>
  <c r="M86" i="155"/>
  <c r="L86" i="155"/>
  <c r="K86" i="155"/>
  <c r="J86" i="155"/>
  <c r="I86" i="155"/>
  <c r="H86" i="155"/>
  <c r="G86" i="155"/>
  <c r="F86" i="155"/>
  <c r="O85" i="155"/>
  <c r="N85" i="155"/>
  <c r="M85" i="155"/>
  <c r="L85" i="155"/>
  <c r="K85" i="155"/>
  <c r="J85" i="155"/>
  <c r="I85" i="155"/>
  <c r="H85" i="155"/>
  <c r="G85" i="155"/>
  <c r="F85" i="155"/>
  <c r="O84" i="155"/>
  <c r="N84" i="155"/>
  <c r="M84" i="155"/>
  <c r="L84" i="155"/>
  <c r="K84" i="155"/>
  <c r="J84" i="155"/>
  <c r="I84" i="155"/>
  <c r="H84" i="155"/>
  <c r="G84" i="155"/>
  <c r="F84" i="155"/>
  <c r="O83" i="155"/>
  <c r="N83" i="155"/>
  <c r="M83" i="155"/>
  <c r="L83" i="155"/>
  <c r="K83" i="155"/>
  <c r="J83" i="155"/>
  <c r="I83" i="155"/>
  <c r="H83" i="155"/>
  <c r="G83" i="155"/>
  <c r="F83" i="155"/>
  <c r="O82" i="155"/>
  <c r="N82" i="155"/>
  <c r="M82" i="155"/>
  <c r="L82" i="155"/>
  <c r="K82" i="155"/>
  <c r="J82" i="155"/>
  <c r="I82" i="155"/>
  <c r="H82" i="155"/>
  <c r="G82" i="155"/>
  <c r="F82" i="155"/>
  <c r="O81" i="155"/>
  <c r="N81" i="155"/>
  <c r="M81" i="155"/>
  <c r="L81" i="155"/>
  <c r="K81" i="155"/>
  <c r="J81" i="155"/>
  <c r="I81" i="155"/>
  <c r="H81" i="155"/>
  <c r="G81" i="155"/>
  <c r="F81" i="155"/>
  <c r="O80" i="155"/>
  <c r="N80" i="155"/>
  <c r="M80" i="155"/>
  <c r="L80" i="155"/>
  <c r="K80" i="155"/>
  <c r="J80" i="155"/>
  <c r="I80" i="155"/>
  <c r="H80" i="155"/>
  <c r="G80" i="155"/>
  <c r="F80" i="155"/>
  <c r="O79" i="155"/>
  <c r="N79" i="155"/>
  <c r="M79" i="155"/>
  <c r="L79" i="155"/>
  <c r="K79" i="155"/>
  <c r="J79" i="155"/>
  <c r="I79" i="155"/>
  <c r="H79" i="155"/>
  <c r="G79" i="155"/>
  <c r="F79" i="155"/>
  <c r="O78" i="155"/>
  <c r="N78" i="155"/>
  <c r="M78" i="155"/>
  <c r="L78" i="155"/>
  <c r="K78" i="155"/>
  <c r="J78" i="155"/>
  <c r="I78" i="155"/>
  <c r="H78" i="155"/>
  <c r="G78" i="155"/>
  <c r="F78" i="155"/>
  <c r="O77" i="155"/>
  <c r="N77" i="155"/>
  <c r="M77" i="155"/>
  <c r="L77" i="155"/>
  <c r="K77" i="155"/>
  <c r="J77" i="155"/>
  <c r="I77" i="155"/>
  <c r="H77" i="155"/>
  <c r="G77" i="155"/>
  <c r="F77" i="155"/>
  <c r="O76" i="155"/>
  <c r="N76" i="155"/>
  <c r="M76" i="155"/>
  <c r="L76" i="155"/>
  <c r="K76" i="155"/>
  <c r="J76" i="155"/>
  <c r="I76" i="155"/>
  <c r="H76" i="155"/>
  <c r="G76" i="155"/>
  <c r="F76" i="155"/>
  <c r="O75" i="155"/>
  <c r="N75" i="155"/>
  <c r="M75" i="155"/>
  <c r="L75" i="155"/>
  <c r="K75" i="155"/>
  <c r="J75" i="155"/>
  <c r="I75" i="155"/>
  <c r="H75" i="155"/>
  <c r="G75" i="155"/>
  <c r="F75" i="155"/>
  <c r="O74" i="155"/>
  <c r="N74" i="155"/>
  <c r="M74" i="155"/>
  <c r="L74" i="155"/>
  <c r="K74" i="155"/>
  <c r="J74" i="155"/>
  <c r="I74" i="155"/>
  <c r="H74" i="155"/>
  <c r="G74" i="155"/>
  <c r="F74" i="155"/>
  <c r="O73" i="155"/>
  <c r="N73" i="155"/>
  <c r="M73" i="155"/>
  <c r="L73" i="155"/>
  <c r="K73" i="155"/>
  <c r="J73" i="155"/>
  <c r="I73" i="155"/>
  <c r="H73" i="155"/>
  <c r="G73" i="155"/>
  <c r="F73" i="155"/>
  <c r="O72" i="155"/>
  <c r="N72" i="155"/>
  <c r="M72" i="155"/>
  <c r="L72" i="155"/>
  <c r="K72" i="155"/>
  <c r="J72" i="155"/>
  <c r="I72" i="155"/>
  <c r="H72" i="155"/>
  <c r="G72" i="155"/>
  <c r="F72" i="155"/>
  <c r="O71" i="155"/>
  <c r="N71" i="155"/>
  <c r="M71" i="155"/>
  <c r="L71" i="155"/>
  <c r="K71" i="155"/>
  <c r="J71" i="155"/>
  <c r="I71" i="155"/>
  <c r="H71" i="155"/>
  <c r="G71" i="155"/>
  <c r="F71" i="155"/>
  <c r="O70" i="155"/>
  <c r="N70" i="155"/>
  <c r="M70" i="155"/>
  <c r="L70" i="155"/>
  <c r="K70" i="155"/>
  <c r="J70" i="155"/>
  <c r="I70" i="155"/>
  <c r="H70" i="155"/>
  <c r="G70" i="155"/>
  <c r="F70" i="155"/>
  <c r="O69" i="155"/>
  <c r="N69" i="155"/>
  <c r="M69" i="155"/>
  <c r="L69" i="155"/>
  <c r="K69" i="155"/>
  <c r="J69" i="155"/>
  <c r="I69" i="155"/>
  <c r="H69" i="155"/>
  <c r="G69" i="155"/>
  <c r="F69" i="155"/>
  <c r="O68" i="155"/>
  <c r="N68" i="155"/>
  <c r="M68" i="155"/>
  <c r="L68" i="155"/>
  <c r="K68" i="155"/>
  <c r="J68" i="155"/>
  <c r="I68" i="155"/>
  <c r="H68" i="155"/>
  <c r="G68" i="155"/>
  <c r="F68" i="155"/>
  <c r="O67" i="155"/>
  <c r="N67" i="155"/>
  <c r="M67" i="155"/>
  <c r="L67" i="155"/>
  <c r="K67" i="155"/>
  <c r="J67" i="155"/>
  <c r="I67" i="155"/>
  <c r="H67" i="155"/>
  <c r="G67" i="155"/>
  <c r="F67" i="155"/>
  <c r="O66" i="155"/>
  <c r="N66" i="155"/>
  <c r="M66" i="155"/>
  <c r="L66" i="155"/>
  <c r="K66" i="155"/>
  <c r="J66" i="155"/>
  <c r="I66" i="155"/>
  <c r="H66" i="155"/>
  <c r="G66" i="155"/>
  <c r="F66" i="155"/>
  <c r="O65" i="155"/>
  <c r="N65" i="155"/>
  <c r="M65" i="155"/>
  <c r="L65" i="155"/>
  <c r="K65" i="155"/>
  <c r="J65" i="155"/>
  <c r="I65" i="155"/>
  <c r="H65" i="155"/>
  <c r="G65" i="155"/>
  <c r="F65" i="155"/>
  <c r="O64" i="155"/>
  <c r="N64" i="155"/>
  <c r="M64" i="155"/>
  <c r="L64" i="155"/>
  <c r="K64" i="155"/>
  <c r="J64" i="155"/>
  <c r="I64" i="155"/>
  <c r="H64" i="155"/>
  <c r="G64" i="155"/>
  <c r="F64" i="155"/>
  <c r="O63" i="155"/>
  <c r="N63" i="155"/>
  <c r="M63" i="155"/>
  <c r="L63" i="155"/>
  <c r="K63" i="155"/>
  <c r="J63" i="155"/>
  <c r="I63" i="155"/>
  <c r="H63" i="155"/>
  <c r="G63" i="155"/>
  <c r="F63" i="155"/>
  <c r="O62" i="155"/>
  <c r="N62" i="155"/>
  <c r="M62" i="155"/>
  <c r="L62" i="155"/>
  <c r="K62" i="155"/>
  <c r="J62" i="155"/>
  <c r="I62" i="155"/>
  <c r="H62" i="155"/>
  <c r="G62" i="155"/>
  <c r="F62" i="155"/>
  <c r="O61" i="155"/>
  <c r="N61" i="155"/>
  <c r="M61" i="155"/>
  <c r="L61" i="155"/>
  <c r="K61" i="155"/>
  <c r="J61" i="155"/>
  <c r="I61" i="155"/>
  <c r="H61" i="155"/>
  <c r="G61" i="155"/>
  <c r="F61" i="155"/>
  <c r="O60" i="155"/>
  <c r="N60" i="155"/>
  <c r="M60" i="155"/>
  <c r="L60" i="155"/>
  <c r="K60" i="155"/>
  <c r="J60" i="155"/>
  <c r="I60" i="155"/>
  <c r="H60" i="155"/>
  <c r="G60" i="155"/>
  <c r="F60" i="155"/>
  <c r="O59" i="155"/>
  <c r="N59" i="155"/>
  <c r="M59" i="155"/>
  <c r="L59" i="155"/>
  <c r="K59" i="155"/>
  <c r="J59" i="155"/>
  <c r="I59" i="155"/>
  <c r="H59" i="155"/>
  <c r="G59" i="155"/>
  <c r="F59" i="155"/>
  <c r="O58" i="155"/>
  <c r="N58" i="155"/>
  <c r="M58" i="155"/>
  <c r="L58" i="155"/>
  <c r="K58" i="155"/>
  <c r="J58" i="155"/>
  <c r="I58" i="155"/>
  <c r="H58" i="155"/>
  <c r="G58" i="155"/>
  <c r="F58" i="155"/>
  <c r="O57" i="155"/>
  <c r="N57" i="155"/>
  <c r="M57" i="155"/>
  <c r="L57" i="155"/>
  <c r="K57" i="155"/>
  <c r="J57" i="155"/>
  <c r="I57" i="155"/>
  <c r="H57" i="155"/>
  <c r="G57" i="155"/>
  <c r="F57" i="155"/>
  <c r="O56" i="155"/>
  <c r="N56" i="155"/>
  <c r="M56" i="155"/>
  <c r="L56" i="155"/>
  <c r="K56" i="155"/>
  <c r="J56" i="155"/>
  <c r="I56" i="155"/>
  <c r="H56" i="155"/>
  <c r="G56" i="155"/>
  <c r="F56" i="155"/>
  <c r="O55" i="155"/>
  <c r="N55" i="155"/>
  <c r="M55" i="155"/>
  <c r="L55" i="155"/>
  <c r="K55" i="155"/>
  <c r="J55" i="155"/>
  <c r="I55" i="155"/>
  <c r="H55" i="155"/>
  <c r="G55" i="155"/>
  <c r="F55" i="155"/>
  <c r="O54" i="155"/>
  <c r="N54" i="155"/>
  <c r="M54" i="155"/>
  <c r="L54" i="155"/>
  <c r="K54" i="155"/>
  <c r="J54" i="155"/>
  <c r="I54" i="155"/>
  <c r="H54" i="155"/>
  <c r="G54" i="155"/>
  <c r="F54" i="155"/>
  <c r="O53" i="155"/>
  <c r="N53" i="155"/>
  <c r="M53" i="155"/>
  <c r="L53" i="155"/>
  <c r="K53" i="155"/>
  <c r="J53" i="155"/>
  <c r="I53" i="155"/>
  <c r="H53" i="155"/>
  <c r="G53" i="155"/>
  <c r="F53" i="155"/>
  <c r="O52" i="155"/>
  <c r="N52" i="155"/>
  <c r="M52" i="155"/>
  <c r="L52" i="155"/>
  <c r="K52" i="155"/>
  <c r="J52" i="155"/>
  <c r="I52" i="155"/>
  <c r="H52" i="155"/>
  <c r="G52" i="155"/>
  <c r="F52" i="155"/>
  <c r="O51" i="155"/>
  <c r="N51" i="155"/>
  <c r="M51" i="155"/>
  <c r="L51" i="155"/>
  <c r="K51" i="155"/>
  <c r="J51" i="155"/>
  <c r="I51" i="155"/>
  <c r="H51" i="155"/>
  <c r="G51" i="155"/>
  <c r="F51" i="155"/>
  <c r="O50" i="155"/>
  <c r="N50" i="155"/>
  <c r="M50" i="155"/>
  <c r="L50" i="155"/>
  <c r="K50" i="155"/>
  <c r="J50" i="155"/>
  <c r="I50" i="155"/>
  <c r="H50" i="155"/>
  <c r="G50" i="155"/>
  <c r="F50" i="155"/>
  <c r="O49" i="155"/>
  <c r="N49" i="155"/>
  <c r="M49" i="155"/>
  <c r="L49" i="155"/>
  <c r="K49" i="155"/>
  <c r="J49" i="155"/>
  <c r="I49" i="155"/>
  <c r="H49" i="155"/>
  <c r="G49" i="155"/>
  <c r="F49" i="155"/>
  <c r="O48" i="155"/>
  <c r="N48" i="155"/>
  <c r="M48" i="155"/>
  <c r="L48" i="155"/>
  <c r="K48" i="155"/>
  <c r="J48" i="155"/>
  <c r="I48" i="155"/>
  <c r="H48" i="155"/>
  <c r="G48" i="155"/>
  <c r="F48" i="155"/>
  <c r="O47" i="155"/>
  <c r="N47" i="155"/>
  <c r="M47" i="155"/>
  <c r="L47" i="155"/>
  <c r="K47" i="155"/>
  <c r="J47" i="155"/>
  <c r="I47" i="155"/>
  <c r="H47" i="155"/>
  <c r="G47" i="155"/>
  <c r="F47" i="155"/>
  <c r="O46" i="155"/>
  <c r="N46" i="155"/>
  <c r="M46" i="155"/>
  <c r="L46" i="155"/>
  <c r="K46" i="155"/>
  <c r="J46" i="155"/>
  <c r="I46" i="155"/>
  <c r="H46" i="155"/>
  <c r="G46" i="155"/>
  <c r="F46" i="155"/>
  <c r="O42" i="155"/>
  <c r="N42" i="155"/>
  <c r="M42" i="155"/>
  <c r="L42" i="155"/>
  <c r="K42" i="155"/>
  <c r="J42" i="155"/>
  <c r="I42" i="155"/>
  <c r="H42" i="155"/>
  <c r="G42" i="155"/>
  <c r="F42" i="155"/>
  <c r="O38" i="155"/>
  <c r="N38" i="155"/>
  <c r="M38" i="155"/>
  <c r="L38" i="155"/>
  <c r="K38" i="155"/>
  <c r="J38" i="155"/>
  <c r="I38" i="155"/>
  <c r="H38" i="155"/>
  <c r="G38" i="155"/>
  <c r="F38" i="155"/>
  <c r="O34" i="155"/>
  <c r="N34" i="155"/>
  <c r="M34" i="155"/>
  <c r="L34" i="155"/>
  <c r="K34" i="155"/>
  <c r="J34" i="155"/>
  <c r="I34" i="155"/>
  <c r="H34" i="155"/>
  <c r="G34" i="155"/>
  <c r="F34" i="155"/>
  <c r="O99" i="154"/>
  <c r="O99" i="154" a="1"/>
  <c r="M99" i="154"/>
  <c r="M99" i="154" a="1"/>
  <c r="K99" i="154"/>
  <c r="K99" i="154" a="1"/>
  <c r="I99" i="154"/>
  <c r="I99" i="154" a="1"/>
  <c r="G99" i="154"/>
  <c r="G99" i="154" a="1"/>
  <c r="O98" i="154"/>
  <c r="N98" i="154"/>
  <c r="M98" i="154"/>
  <c r="L98" i="154"/>
  <c r="K98" i="154"/>
  <c r="J98" i="154"/>
  <c r="I98" i="154"/>
  <c r="H98" i="154"/>
  <c r="G98" i="154"/>
  <c r="F98" i="154"/>
  <c r="O97" i="154"/>
  <c r="N97" i="154"/>
  <c r="M97" i="154"/>
  <c r="L97" i="154"/>
  <c r="K97" i="154"/>
  <c r="J97" i="154"/>
  <c r="I97" i="154"/>
  <c r="H97" i="154"/>
  <c r="G97" i="154"/>
  <c r="F97" i="154"/>
  <c r="O96" i="154"/>
  <c r="N96" i="154"/>
  <c r="M96" i="154"/>
  <c r="L96" i="154"/>
  <c r="K96" i="154"/>
  <c r="J96" i="154"/>
  <c r="I96" i="154"/>
  <c r="H96" i="154"/>
  <c r="G96" i="154"/>
  <c r="F96" i="154"/>
  <c r="O95" i="154"/>
  <c r="N95" i="154"/>
  <c r="M95" i="154"/>
  <c r="L95" i="154"/>
  <c r="K95" i="154"/>
  <c r="J95" i="154"/>
  <c r="I95" i="154"/>
  <c r="H95" i="154"/>
  <c r="G95" i="154"/>
  <c r="F95" i="154"/>
  <c r="O94" i="154"/>
  <c r="N94" i="154"/>
  <c r="M94" i="154"/>
  <c r="L94" i="154"/>
  <c r="K94" i="154"/>
  <c r="J94" i="154"/>
  <c r="I94" i="154"/>
  <c r="H94" i="154"/>
  <c r="G94" i="154"/>
  <c r="F94" i="154"/>
  <c r="O93" i="154"/>
  <c r="N93" i="154"/>
  <c r="M93" i="154"/>
  <c r="L93" i="154"/>
  <c r="K93" i="154"/>
  <c r="J93" i="154"/>
  <c r="I93" i="154"/>
  <c r="H93" i="154"/>
  <c r="G93" i="154"/>
  <c r="F93" i="154"/>
  <c r="O92" i="154"/>
  <c r="N92" i="154"/>
  <c r="M92" i="154"/>
  <c r="L92" i="154"/>
  <c r="K92" i="154"/>
  <c r="J92" i="154"/>
  <c r="I92" i="154"/>
  <c r="H92" i="154"/>
  <c r="G92" i="154"/>
  <c r="F92" i="154"/>
  <c r="O91" i="154"/>
  <c r="N91" i="154"/>
  <c r="M91" i="154"/>
  <c r="L91" i="154"/>
  <c r="K91" i="154"/>
  <c r="J91" i="154"/>
  <c r="I91" i="154"/>
  <c r="H91" i="154"/>
  <c r="G91" i="154"/>
  <c r="F91" i="154"/>
  <c r="O90" i="154"/>
  <c r="N90" i="154"/>
  <c r="M90" i="154"/>
  <c r="L90" i="154"/>
  <c r="K90" i="154"/>
  <c r="J90" i="154"/>
  <c r="I90" i="154"/>
  <c r="H90" i="154"/>
  <c r="G90" i="154"/>
  <c r="F90" i="154"/>
  <c r="O89" i="154"/>
  <c r="N89" i="154"/>
  <c r="M89" i="154"/>
  <c r="L89" i="154"/>
  <c r="K89" i="154"/>
  <c r="J89" i="154"/>
  <c r="I89" i="154"/>
  <c r="H89" i="154"/>
  <c r="G89" i="154"/>
  <c r="F89" i="154"/>
  <c r="O88" i="154"/>
  <c r="N88" i="154"/>
  <c r="M88" i="154"/>
  <c r="L88" i="154"/>
  <c r="K88" i="154"/>
  <c r="J88" i="154"/>
  <c r="I88" i="154"/>
  <c r="H88" i="154"/>
  <c r="G88" i="154"/>
  <c r="F88" i="154"/>
  <c r="O87" i="154"/>
  <c r="N87" i="154"/>
  <c r="M87" i="154"/>
  <c r="L87" i="154"/>
  <c r="K87" i="154"/>
  <c r="J87" i="154"/>
  <c r="I87" i="154"/>
  <c r="H87" i="154"/>
  <c r="G87" i="154"/>
  <c r="F87" i="154"/>
  <c r="O86" i="154"/>
  <c r="N86" i="154"/>
  <c r="M86" i="154"/>
  <c r="L86" i="154"/>
  <c r="K86" i="154"/>
  <c r="J86" i="154"/>
  <c r="I86" i="154"/>
  <c r="H86" i="154"/>
  <c r="G86" i="154"/>
  <c r="F86" i="154"/>
  <c r="O85" i="154"/>
  <c r="N85" i="154"/>
  <c r="M85" i="154"/>
  <c r="L85" i="154"/>
  <c r="K85" i="154"/>
  <c r="J85" i="154"/>
  <c r="I85" i="154"/>
  <c r="H85" i="154"/>
  <c r="G85" i="154"/>
  <c r="F85" i="154"/>
  <c r="O84" i="154"/>
  <c r="N84" i="154"/>
  <c r="M84" i="154"/>
  <c r="L84" i="154"/>
  <c r="K84" i="154"/>
  <c r="J84" i="154"/>
  <c r="I84" i="154"/>
  <c r="H84" i="154"/>
  <c r="G84" i="154"/>
  <c r="F84" i="154"/>
  <c r="O83" i="154"/>
  <c r="N83" i="154"/>
  <c r="M83" i="154"/>
  <c r="L83" i="154"/>
  <c r="K83" i="154"/>
  <c r="J83" i="154"/>
  <c r="I83" i="154"/>
  <c r="H83" i="154"/>
  <c r="G83" i="154"/>
  <c r="F83" i="154"/>
  <c r="O82" i="154"/>
  <c r="N82" i="154"/>
  <c r="M82" i="154"/>
  <c r="L82" i="154"/>
  <c r="K82" i="154"/>
  <c r="J82" i="154"/>
  <c r="I82" i="154"/>
  <c r="H82" i="154"/>
  <c r="G82" i="154"/>
  <c r="F82" i="154"/>
  <c r="O81" i="154"/>
  <c r="N81" i="154"/>
  <c r="M81" i="154"/>
  <c r="L81" i="154"/>
  <c r="K81" i="154"/>
  <c r="J81" i="154"/>
  <c r="I81" i="154"/>
  <c r="H81" i="154"/>
  <c r="G81" i="154"/>
  <c r="F81" i="154"/>
  <c r="O80" i="154"/>
  <c r="N80" i="154"/>
  <c r="M80" i="154"/>
  <c r="L80" i="154"/>
  <c r="K80" i="154"/>
  <c r="J80" i="154"/>
  <c r="I80" i="154"/>
  <c r="H80" i="154"/>
  <c r="G80" i="154"/>
  <c r="F80" i="154"/>
  <c r="O79" i="154"/>
  <c r="N79" i="154"/>
  <c r="M79" i="154"/>
  <c r="L79" i="154"/>
  <c r="K79" i="154"/>
  <c r="J79" i="154"/>
  <c r="I79" i="154"/>
  <c r="H79" i="154"/>
  <c r="G79" i="154"/>
  <c r="F79" i="154"/>
  <c r="O78" i="154"/>
  <c r="N78" i="154"/>
  <c r="M78" i="154"/>
  <c r="L78" i="154"/>
  <c r="K78" i="154"/>
  <c r="J78" i="154"/>
  <c r="I78" i="154"/>
  <c r="H78" i="154"/>
  <c r="G78" i="154"/>
  <c r="F78" i="154"/>
  <c r="O77" i="154"/>
  <c r="N77" i="154"/>
  <c r="M77" i="154"/>
  <c r="L77" i="154"/>
  <c r="K77" i="154"/>
  <c r="J77" i="154"/>
  <c r="I77" i="154"/>
  <c r="H77" i="154"/>
  <c r="G77" i="154"/>
  <c r="F77" i="154"/>
  <c r="O76" i="154"/>
  <c r="N76" i="154"/>
  <c r="M76" i="154"/>
  <c r="L76" i="154"/>
  <c r="K76" i="154"/>
  <c r="J76" i="154"/>
  <c r="I76" i="154"/>
  <c r="H76" i="154"/>
  <c r="G76" i="154"/>
  <c r="F76" i="154"/>
  <c r="O75" i="154"/>
  <c r="N75" i="154"/>
  <c r="M75" i="154"/>
  <c r="L75" i="154"/>
  <c r="K75" i="154"/>
  <c r="J75" i="154"/>
  <c r="I75" i="154"/>
  <c r="H75" i="154"/>
  <c r="G75" i="154"/>
  <c r="F75" i="154"/>
  <c r="O74" i="154"/>
  <c r="N74" i="154"/>
  <c r="M74" i="154"/>
  <c r="L74" i="154"/>
  <c r="K74" i="154"/>
  <c r="J74" i="154"/>
  <c r="I74" i="154"/>
  <c r="H74" i="154"/>
  <c r="G74" i="154"/>
  <c r="F74" i="154"/>
  <c r="O73" i="154"/>
  <c r="N73" i="154"/>
  <c r="M73" i="154"/>
  <c r="L73" i="154"/>
  <c r="K73" i="154"/>
  <c r="J73" i="154"/>
  <c r="I73" i="154"/>
  <c r="H73" i="154"/>
  <c r="G73" i="154"/>
  <c r="F73" i="154"/>
  <c r="O72" i="154"/>
  <c r="N72" i="154"/>
  <c r="M72" i="154"/>
  <c r="L72" i="154"/>
  <c r="K72" i="154"/>
  <c r="J72" i="154"/>
  <c r="I72" i="154"/>
  <c r="H72" i="154"/>
  <c r="G72" i="154"/>
  <c r="F72" i="154"/>
  <c r="O71" i="154"/>
  <c r="N71" i="154"/>
  <c r="M71" i="154"/>
  <c r="L71" i="154"/>
  <c r="K71" i="154"/>
  <c r="J71" i="154"/>
  <c r="I71" i="154"/>
  <c r="H71" i="154"/>
  <c r="G71" i="154"/>
  <c r="F71" i="154"/>
  <c r="O70" i="154"/>
  <c r="N70" i="154"/>
  <c r="M70" i="154"/>
  <c r="L70" i="154"/>
  <c r="K70" i="154"/>
  <c r="J70" i="154"/>
  <c r="I70" i="154"/>
  <c r="H70" i="154"/>
  <c r="G70" i="154"/>
  <c r="F70" i="154"/>
  <c r="O69" i="154"/>
  <c r="N69" i="154"/>
  <c r="M69" i="154"/>
  <c r="L69" i="154"/>
  <c r="K69" i="154"/>
  <c r="J69" i="154"/>
  <c r="I69" i="154"/>
  <c r="H69" i="154"/>
  <c r="G69" i="154"/>
  <c r="F69" i="154"/>
  <c r="O68" i="154"/>
  <c r="N68" i="154"/>
  <c r="M68" i="154"/>
  <c r="L68" i="154"/>
  <c r="K68" i="154"/>
  <c r="J68" i="154"/>
  <c r="I68" i="154"/>
  <c r="H68" i="154"/>
  <c r="G68" i="154"/>
  <c r="F68" i="154"/>
  <c r="O67" i="154"/>
  <c r="N67" i="154"/>
  <c r="M67" i="154"/>
  <c r="L67" i="154"/>
  <c r="K67" i="154"/>
  <c r="J67" i="154"/>
  <c r="I67" i="154"/>
  <c r="H67" i="154"/>
  <c r="G67" i="154"/>
  <c r="F67" i="154"/>
  <c r="O66" i="154"/>
  <c r="N66" i="154"/>
  <c r="M66" i="154"/>
  <c r="L66" i="154"/>
  <c r="K66" i="154"/>
  <c r="J66" i="154"/>
  <c r="I66" i="154"/>
  <c r="H66" i="154"/>
  <c r="G66" i="154"/>
  <c r="F66" i="154"/>
  <c r="O65" i="154"/>
  <c r="N65" i="154"/>
  <c r="M65" i="154"/>
  <c r="L65" i="154"/>
  <c r="K65" i="154"/>
  <c r="J65" i="154"/>
  <c r="I65" i="154"/>
  <c r="H65" i="154"/>
  <c r="G65" i="154"/>
  <c r="F65" i="154"/>
  <c r="O64" i="154"/>
  <c r="N64" i="154"/>
  <c r="M64" i="154"/>
  <c r="L64" i="154"/>
  <c r="K64" i="154"/>
  <c r="J64" i="154"/>
  <c r="I64" i="154"/>
  <c r="H64" i="154"/>
  <c r="G64" i="154"/>
  <c r="F64" i="154"/>
  <c r="O63" i="154"/>
  <c r="N63" i="154"/>
  <c r="M63" i="154"/>
  <c r="L63" i="154"/>
  <c r="K63" i="154"/>
  <c r="J63" i="154"/>
  <c r="I63" i="154"/>
  <c r="H63" i="154"/>
  <c r="G63" i="154"/>
  <c r="F63" i="154"/>
  <c r="O62" i="154"/>
  <c r="N62" i="154"/>
  <c r="M62" i="154"/>
  <c r="L62" i="154"/>
  <c r="K62" i="154"/>
  <c r="J62" i="154"/>
  <c r="I62" i="154"/>
  <c r="H62" i="154"/>
  <c r="G62" i="154"/>
  <c r="F62" i="154"/>
  <c r="O61" i="154"/>
  <c r="N61" i="154"/>
  <c r="M61" i="154"/>
  <c r="L61" i="154"/>
  <c r="K61" i="154"/>
  <c r="J61" i="154"/>
  <c r="I61" i="154"/>
  <c r="H61" i="154"/>
  <c r="G61" i="154"/>
  <c r="F61" i="154"/>
  <c r="O60" i="154"/>
  <c r="N60" i="154"/>
  <c r="M60" i="154"/>
  <c r="L60" i="154"/>
  <c r="K60" i="154"/>
  <c r="J60" i="154"/>
  <c r="I60" i="154"/>
  <c r="H60" i="154"/>
  <c r="G60" i="154"/>
  <c r="F60" i="154"/>
  <c r="O59" i="154"/>
  <c r="N59" i="154"/>
  <c r="M59" i="154"/>
  <c r="L59" i="154"/>
  <c r="K59" i="154"/>
  <c r="J59" i="154"/>
  <c r="I59" i="154"/>
  <c r="H59" i="154"/>
  <c r="G59" i="154"/>
  <c r="F59" i="154"/>
  <c r="O58" i="154"/>
  <c r="N58" i="154"/>
  <c r="M58" i="154"/>
  <c r="L58" i="154"/>
  <c r="K58" i="154"/>
  <c r="J58" i="154"/>
  <c r="I58" i="154"/>
  <c r="H58" i="154"/>
  <c r="G58" i="154"/>
  <c r="F58" i="154"/>
  <c r="O57" i="154"/>
  <c r="N57" i="154"/>
  <c r="M57" i="154"/>
  <c r="L57" i="154"/>
  <c r="K57" i="154"/>
  <c r="J57" i="154"/>
  <c r="I57" i="154"/>
  <c r="H57" i="154"/>
  <c r="G57" i="154"/>
  <c r="F57" i="154"/>
  <c r="O56" i="154"/>
  <c r="N56" i="154"/>
  <c r="M56" i="154"/>
  <c r="L56" i="154"/>
  <c r="K56" i="154"/>
  <c r="J56" i="154"/>
  <c r="I56" i="154"/>
  <c r="H56" i="154"/>
  <c r="G56" i="154"/>
  <c r="F56" i="154"/>
  <c r="O55" i="154"/>
  <c r="N55" i="154"/>
  <c r="M55" i="154"/>
  <c r="L55" i="154"/>
  <c r="K55" i="154"/>
  <c r="J55" i="154"/>
  <c r="I55" i="154"/>
  <c r="H55" i="154"/>
  <c r="G55" i="154"/>
  <c r="F55" i="154"/>
  <c r="O54" i="154"/>
  <c r="N54" i="154"/>
  <c r="M54" i="154"/>
  <c r="L54" i="154"/>
  <c r="K54" i="154"/>
  <c r="J54" i="154"/>
  <c r="I54" i="154"/>
  <c r="H54" i="154"/>
  <c r="G54" i="154"/>
  <c r="F54" i="154"/>
  <c r="O53" i="154"/>
  <c r="N53" i="154"/>
  <c r="M53" i="154"/>
  <c r="L53" i="154"/>
  <c r="K53" i="154"/>
  <c r="J53" i="154"/>
  <c r="I53" i="154"/>
  <c r="H53" i="154"/>
  <c r="G53" i="154"/>
  <c r="F53" i="154"/>
  <c r="O52" i="154"/>
  <c r="N52" i="154"/>
  <c r="M52" i="154"/>
  <c r="L52" i="154"/>
  <c r="K52" i="154"/>
  <c r="J52" i="154"/>
  <c r="I52" i="154"/>
  <c r="H52" i="154"/>
  <c r="G52" i="154"/>
  <c r="F52" i="154"/>
  <c r="O51" i="154"/>
  <c r="N51" i="154"/>
  <c r="M51" i="154"/>
  <c r="L51" i="154"/>
  <c r="K51" i="154"/>
  <c r="J51" i="154"/>
  <c r="I51" i="154"/>
  <c r="H51" i="154"/>
  <c r="G51" i="154"/>
  <c r="F51" i="154"/>
  <c r="O50" i="154"/>
  <c r="N50" i="154"/>
  <c r="M50" i="154"/>
  <c r="L50" i="154"/>
  <c r="K50" i="154"/>
  <c r="J50" i="154"/>
  <c r="I50" i="154"/>
  <c r="H50" i="154"/>
  <c r="G50" i="154"/>
  <c r="F50" i="154"/>
  <c r="O49" i="154"/>
  <c r="N49" i="154"/>
  <c r="M49" i="154"/>
  <c r="L49" i="154"/>
  <c r="K49" i="154"/>
  <c r="J49" i="154"/>
  <c r="I49" i="154"/>
  <c r="H49" i="154"/>
  <c r="G49" i="154"/>
  <c r="F49" i="154"/>
  <c r="O45" i="154"/>
  <c r="N45" i="154"/>
  <c r="M45" i="154"/>
  <c r="L45" i="154"/>
  <c r="K45" i="154"/>
  <c r="J45" i="154"/>
  <c r="I45" i="154"/>
  <c r="H45" i="154"/>
  <c r="G45" i="154"/>
  <c r="F45" i="154"/>
  <c r="O41" i="154"/>
  <c r="N41" i="154"/>
  <c r="M41" i="154"/>
  <c r="L41" i="154"/>
  <c r="K41" i="154"/>
  <c r="J41" i="154"/>
  <c r="I41" i="154"/>
  <c r="H41" i="154"/>
  <c r="G41" i="154"/>
  <c r="F41" i="154"/>
  <c r="O37" i="154"/>
  <c r="N37" i="154"/>
  <c r="M37" i="154"/>
  <c r="L37" i="154"/>
  <c r="K37" i="154"/>
  <c r="J37" i="154"/>
  <c r="I37" i="154"/>
  <c r="H37" i="154"/>
  <c r="G37" i="154"/>
  <c r="F37" i="154"/>
  <c r="O97" i="153"/>
  <c r="O97" i="153" a="1"/>
  <c r="M97" i="153"/>
  <c r="M97" i="153" a="1"/>
  <c r="K97" i="153"/>
  <c r="K97" i="153" a="1"/>
  <c r="I97" i="153"/>
  <c r="I97" i="153" a="1"/>
  <c r="G97" i="153"/>
  <c r="G97" i="153" a="1"/>
  <c r="O96" i="153"/>
  <c r="N96" i="153"/>
  <c r="M96" i="153"/>
  <c r="L96" i="153"/>
  <c r="K96" i="153"/>
  <c r="J96" i="153"/>
  <c r="I96" i="153"/>
  <c r="H96" i="153"/>
  <c r="G96" i="153"/>
  <c r="F96" i="153"/>
  <c r="O95" i="153"/>
  <c r="N95" i="153"/>
  <c r="M95" i="153"/>
  <c r="L95" i="153"/>
  <c r="K95" i="153"/>
  <c r="J95" i="153"/>
  <c r="I95" i="153"/>
  <c r="H95" i="153"/>
  <c r="G95" i="153"/>
  <c r="F95" i="153"/>
  <c r="O94" i="153"/>
  <c r="N94" i="153"/>
  <c r="M94" i="153"/>
  <c r="L94" i="153"/>
  <c r="K94" i="153"/>
  <c r="J94" i="153"/>
  <c r="I94" i="153"/>
  <c r="H94" i="153"/>
  <c r="G94" i="153"/>
  <c r="F94" i="153"/>
  <c r="O93" i="153"/>
  <c r="N93" i="153"/>
  <c r="M93" i="153"/>
  <c r="L93" i="153"/>
  <c r="K93" i="153"/>
  <c r="J93" i="153"/>
  <c r="I93" i="153"/>
  <c r="H93" i="153"/>
  <c r="G93" i="153"/>
  <c r="F93" i="153"/>
  <c r="O92" i="153"/>
  <c r="N92" i="153"/>
  <c r="M92" i="153"/>
  <c r="L92" i="153"/>
  <c r="K92" i="153"/>
  <c r="J92" i="153"/>
  <c r="I92" i="153"/>
  <c r="H92" i="153"/>
  <c r="G92" i="153"/>
  <c r="F92" i="153"/>
  <c r="O91" i="153"/>
  <c r="N91" i="153"/>
  <c r="M91" i="153"/>
  <c r="L91" i="153"/>
  <c r="K91" i="153"/>
  <c r="J91" i="153"/>
  <c r="I91" i="153"/>
  <c r="H91" i="153"/>
  <c r="G91" i="153"/>
  <c r="F91" i="153"/>
  <c r="O90" i="153"/>
  <c r="N90" i="153"/>
  <c r="M90" i="153"/>
  <c r="L90" i="153"/>
  <c r="K90" i="153"/>
  <c r="J90" i="153"/>
  <c r="I90" i="153"/>
  <c r="H90" i="153"/>
  <c r="G90" i="153"/>
  <c r="F90" i="153"/>
  <c r="O89" i="153"/>
  <c r="N89" i="153"/>
  <c r="M89" i="153"/>
  <c r="L89" i="153"/>
  <c r="K89" i="153"/>
  <c r="J89" i="153"/>
  <c r="I89" i="153"/>
  <c r="H89" i="153"/>
  <c r="G89" i="153"/>
  <c r="F89" i="153"/>
  <c r="O88" i="153"/>
  <c r="N88" i="153"/>
  <c r="M88" i="153"/>
  <c r="L88" i="153"/>
  <c r="K88" i="153"/>
  <c r="J88" i="153"/>
  <c r="I88" i="153"/>
  <c r="H88" i="153"/>
  <c r="G88" i="153"/>
  <c r="F88" i="153"/>
  <c r="O87" i="153"/>
  <c r="N87" i="153"/>
  <c r="M87" i="153"/>
  <c r="L87" i="153"/>
  <c r="K87" i="153"/>
  <c r="J87" i="153"/>
  <c r="I87" i="153"/>
  <c r="H87" i="153"/>
  <c r="G87" i="153"/>
  <c r="F87" i="153"/>
  <c r="O86" i="153"/>
  <c r="N86" i="153"/>
  <c r="M86" i="153"/>
  <c r="L86" i="153"/>
  <c r="K86" i="153"/>
  <c r="J86" i="153"/>
  <c r="I86" i="153"/>
  <c r="H86" i="153"/>
  <c r="G86" i="153"/>
  <c r="F86" i="153"/>
  <c r="O85" i="153"/>
  <c r="N85" i="153"/>
  <c r="M85" i="153"/>
  <c r="L85" i="153"/>
  <c r="K85" i="153"/>
  <c r="J85" i="153"/>
  <c r="I85" i="153"/>
  <c r="H85" i="153"/>
  <c r="G85" i="153"/>
  <c r="F85" i="153"/>
  <c r="O84" i="153"/>
  <c r="N84" i="153"/>
  <c r="M84" i="153"/>
  <c r="L84" i="153"/>
  <c r="K84" i="153"/>
  <c r="J84" i="153"/>
  <c r="I84" i="153"/>
  <c r="H84" i="153"/>
  <c r="G84" i="153"/>
  <c r="F84" i="153"/>
  <c r="O83" i="153"/>
  <c r="N83" i="153"/>
  <c r="M83" i="153"/>
  <c r="L83" i="153"/>
  <c r="K83" i="153"/>
  <c r="J83" i="153"/>
  <c r="I83" i="153"/>
  <c r="H83" i="153"/>
  <c r="G83" i="153"/>
  <c r="F83" i="153"/>
  <c r="O82" i="153"/>
  <c r="N82" i="153"/>
  <c r="M82" i="153"/>
  <c r="L82" i="153"/>
  <c r="K82" i="153"/>
  <c r="J82" i="153"/>
  <c r="I82" i="153"/>
  <c r="H82" i="153"/>
  <c r="G82" i="153"/>
  <c r="F82" i="153"/>
  <c r="O81" i="153"/>
  <c r="N81" i="153"/>
  <c r="M81" i="153"/>
  <c r="L81" i="153"/>
  <c r="K81" i="153"/>
  <c r="J81" i="153"/>
  <c r="I81" i="153"/>
  <c r="H81" i="153"/>
  <c r="G81" i="153"/>
  <c r="F81" i="153"/>
  <c r="O80" i="153"/>
  <c r="N80" i="153"/>
  <c r="M80" i="153"/>
  <c r="L80" i="153"/>
  <c r="K80" i="153"/>
  <c r="J80" i="153"/>
  <c r="I80" i="153"/>
  <c r="H80" i="153"/>
  <c r="G80" i="153"/>
  <c r="F80" i="153"/>
  <c r="O79" i="153"/>
  <c r="N79" i="153"/>
  <c r="M79" i="153"/>
  <c r="L79" i="153"/>
  <c r="K79" i="153"/>
  <c r="J79" i="153"/>
  <c r="I79" i="153"/>
  <c r="H79" i="153"/>
  <c r="G79" i="153"/>
  <c r="F79" i="153"/>
  <c r="O78" i="153"/>
  <c r="N78" i="153"/>
  <c r="M78" i="153"/>
  <c r="L78" i="153"/>
  <c r="K78" i="153"/>
  <c r="J78" i="153"/>
  <c r="I78" i="153"/>
  <c r="H78" i="153"/>
  <c r="G78" i="153"/>
  <c r="F78" i="153"/>
  <c r="O77" i="153"/>
  <c r="N77" i="153"/>
  <c r="M77" i="153"/>
  <c r="L77" i="153"/>
  <c r="K77" i="153"/>
  <c r="J77" i="153"/>
  <c r="I77" i="153"/>
  <c r="H77" i="153"/>
  <c r="G77" i="153"/>
  <c r="F77" i="153"/>
  <c r="O76" i="153"/>
  <c r="N76" i="153"/>
  <c r="M76" i="153"/>
  <c r="L76" i="153"/>
  <c r="K76" i="153"/>
  <c r="J76" i="153"/>
  <c r="I76" i="153"/>
  <c r="H76" i="153"/>
  <c r="G76" i="153"/>
  <c r="F76" i="153"/>
  <c r="O75" i="153"/>
  <c r="N75" i="153"/>
  <c r="M75" i="153"/>
  <c r="L75" i="153"/>
  <c r="K75" i="153"/>
  <c r="J75" i="153"/>
  <c r="I75" i="153"/>
  <c r="H75" i="153"/>
  <c r="G75" i="153"/>
  <c r="F75" i="153"/>
  <c r="O74" i="153"/>
  <c r="N74" i="153"/>
  <c r="M74" i="153"/>
  <c r="L74" i="153"/>
  <c r="K74" i="153"/>
  <c r="J74" i="153"/>
  <c r="I74" i="153"/>
  <c r="H74" i="153"/>
  <c r="G74" i="153"/>
  <c r="F74" i="153"/>
  <c r="O73" i="153"/>
  <c r="N73" i="153"/>
  <c r="M73" i="153"/>
  <c r="L73" i="153"/>
  <c r="K73" i="153"/>
  <c r="J73" i="153"/>
  <c r="I73" i="153"/>
  <c r="H73" i="153"/>
  <c r="G73" i="153"/>
  <c r="F73" i="153"/>
  <c r="O72" i="153"/>
  <c r="N72" i="153"/>
  <c r="M72" i="153"/>
  <c r="L72" i="153"/>
  <c r="K72" i="153"/>
  <c r="J72" i="153"/>
  <c r="I72" i="153"/>
  <c r="H72" i="153"/>
  <c r="G72" i="153"/>
  <c r="F72" i="153"/>
  <c r="O71" i="153"/>
  <c r="N71" i="153"/>
  <c r="M71" i="153"/>
  <c r="L71" i="153"/>
  <c r="K71" i="153"/>
  <c r="J71" i="153"/>
  <c r="I71" i="153"/>
  <c r="H71" i="153"/>
  <c r="G71" i="153"/>
  <c r="F71" i="153"/>
  <c r="O70" i="153"/>
  <c r="N70" i="153"/>
  <c r="M70" i="153"/>
  <c r="L70" i="153"/>
  <c r="K70" i="153"/>
  <c r="J70" i="153"/>
  <c r="I70" i="153"/>
  <c r="H70" i="153"/>
  <c r="G70" i="153"/>
  <c r="F70" i="153"/>
  <c r="O69" i="153"/>
  <c r="N69" i="153"/>
  <c r="M69" i="153"/>
  <c r="L69" i="153"/>
  <c r="K69" i="153"/>
  <c r="J69" i="153"/>
  <c r="I69" i="153"/>
  <c r="H69" i="153"/>
  <c r="G69" i="153"/>
  <c r="F69" i="153"/>
  <c r="O68" i="153"/>
  <c r="N68" i="153"/>
  <c r="M68" i="153"/>
  <c r="L68" i="153"/>
  <c r="K68" i="153"/>
  <c r="J68" i="153"/>
  <c r="I68" i="153"/>
  <c r="H68" i="153"/>
  <c r="G68" i="153"/>
  <c r="F68" i="153"/>
  <c r="O67" i="153"/>
  <c r="N67" i="153"/>
  <c r="M67" i="153"/>
  <c r="L67" i="153"/>
  <c r="K67" i="153"/>
  <c r="J67" i="153"/>
  <c r="I67" i="153"/>
  <c r="H67" i="153"/>
  <c r="G67" i="153"/>
  <c r="F67" i="153"/>
  <c r="O66" i="153"/>
  <c r="N66" i="153"/>
  <c r="M66" i="153"/>
  <c r="L66" i="153"/>
  <c r="K66" i="153"/>
  <c r="J66" i="153"/>
  <c r="I66" i="153"/>
  <c r="H66" i="153"/>
  <c r="G66" i="153"/>
  <c r="F66" i="153"/>
  <c r="O65" i="153"/>
  <c r="N65" i="153"/>
  <c r="M65" i="153"/>
  <c r="L65" i="153"/>
  <c r="K65" i="153"/>
  <c r="J65" i="153"/>
  <c r="I65" i="153"/>
  <c r="H65" i="153"/>
  <c r="G65" i="153"/>
  <c r="F65" i="153"/>
  <c r="O64" i="153"/>
  <c r="N64" i="153"/>
  <c r="M64" i="153"/>
  <c r="L64" i="153"/>
  <c r="K64" i="153"/>
  <c r="J64" i="153"/>
  <c r="I64" i="153"/>
  <c r="H64" i="153"/>
  <c r="G64" i="153"/>
  <c r="F64" i="153"/>
  <c r="O63" i="153"/>
  <c r="N63" i="153"/>
  <c r="M63" i="153"/>
  <c r="L63" i="153"/>
  <c r="K63" i="153"/>
  <c r="J63" i="153"/>
  <c r="I63" i="153"/>
  <c r="H63" i="153"/>
  <c r="G63" i="153"/>
  <c r="F63" i="153"/>
  <c r="O62" i="153"/>
  <c r="N62" i="153"/>
  <c r="M62" i="153"/>
  <c r="L62" i="153"/>
  <c r="K62" i="153"/>
  <c r="J62" i="153"/>
  <c r="I62" i="153"/>
  <c r="H62" i="153"/>
  <c r="G62" i="153"/>
  <c r="F62" i="153"/>
  <c r="O61" i="153"/>
  <c r="N61" i="153"/>
  <c r="M61" i="153"/>
  <c r="L61" i="153"/>
  <c r="K61" i="153"/>
  <c r="J61" i="153"/>
  <c r="I61" i="153"/>
  <c r="H61" i="153"/>
  <c r="G61" i="153"/>
  <c r="F61" i="153"/>
  <c r="O60" i="153"/>
  <c r="N60" i="153"/>
  <c r="M60" i="153"/>
  <c r="L60" i="153"/>
  <c r="K60" i="153"/>
  <c r="J60" i="153"/>
  <c r="I60" i="153"/>
  <c r="H60" i="153"/>
  <c r="G60" i="153"/>
  <c r="F60" i="153"/>
  <c r="O59" i="153"/>
  <c r="N59" i="153"/>
  <c r="M59" i="153"/>
  <c r="L59" i="153"/>
  <c r="K59" i="153"/>
  <c r="J59" i="153"/>
  <c r="I59" i="153"/>
  <c r="H59" i="153"/>
  <c r="G59" i="153"/>
  <c r="F59" i="153"/>
  <c r="O58" i="153"/>
  <c r="N58" i="153"/>
  <c r="M58" i="153"/>
  <c r="L58" i="153"/>
  <c r="K58" i="153"/>
  <c r="J58" i="153"/>
  <c r="I58" i="153"/>
  <c r="H58" i="153"/>
  <c r="G58" i="153"/>
  <c r="F58" i="153"/>
  <c r="O57" i="153"/>
  <c r="N57" i="153"/>
  <c r="M57" i="153"/>
  <c r="L57" i="153"/>
  <c r="K57" i="153"/>
  <c r="J57" i="153"/>
  <c r="I57" i="153"/>
  <c r="H57" i="153"/>
  <c r="G57" i="153"/>
  <c r="F57" i="153"/>
  <c r="O56" i="153"/>
  <c r="N56" i="153"/>
  <c r="M56" i="153"/>
  <c r="L56" i="153"/>
  <c r="K56" i="153"/>
  <c r="J56" i="153"/>
  <c r="I56" i="153"/>
  <c r="H56" i="153"/>
  <c r="G56" i="153"/>
  <c r="F56" i="153"/>
  <c r="O55" i="153"/>
  <c r="N55" i="153"/>
  <c r="M55" i="153"/>
  <c r="L55" i="153"/>
  <c r="K55" i="153"/>
  <c r="J55" i="153"/>
  <c r="I55" i="153"/>
  <c r="H55" i="153"/>
  <c r="G55" i="153"/>
  <c r="F55" i="153"/>
  <c r="O54" i="153"/>
  <c r="N54" i="153"/>
  <c r="M54" i="153"/>
  <c r="L54" i="153"/>
  <c r="K54" i="153"/>
  <c r="J54" i="153"/>
  <c r="I54" i="153"/>
  <c r="H54" i="153"/>
  <c r="G54" i="153"/>
  <c r="F54" i="153"/>
  <c r="O53" i="153"/>
  <c r="N53" i="153"/>
  <c r="M53" i="153"/>
  <c r="L53" i="153"/>
  <c r="K53" i="153"/>
  <c r="J53" i="153"/>
  <c r="I53" i="153"/>
  <c r="H53" i="153"/>
  <c r="G53" i="153"/>
  <c r="F53" i="153"/>
  <c r="O52" i="153"/>
  <c r="N52" i="153"/>
  <c r="M52" i="153"/>
  <c r="L52" i="153"/>
  <c r="K52" i="153"/>
  <c r="J52" i="153"/>
  <c r="I52" i="153"/>
  <c r="H52" i="153"/>
  <c r="G52" i="153"/>
  <c r="F52" i="153"/>
  <c r="O48" i="153"/>
  <c r="N48" i="153"/>
  <c r="M48" i="153"/>
  <c r="L48" i="153"/>
  <c r="K48" i="153"/>
  <c r="J48" i="153"/>
  <c r="I48" i="153"/>
  <c r="H48" i="153"/>
  <c r="G48" i="153"/>
  <c r="F48" i="153"/>
  <c r="O44" i="153"/>
  <c r="N44" i="153"/>
  <c r="M44" i="153"/>
  <c r="L44" i="153"/>
  <c r="K44" i="153"/>
  <c r="J44" i="153"/>
  <c r="I44" i="153"/>
  <c r="H44" i="153"/>
  <c r="G44" i="153"/>
  <c r="F44" i="153"/>
  <c r="O40" i="153"/>
  <c r="N40" i="153"/>
  <c r="M40" i="153"/>
  <c r="L40" i="153"/>
  <c r="K40" i="153"/>
  <c r="J40" i="153"/>
  <c r="I40" i="153"/>
  <c r="H40" i="153"/>
  <c r="G40" i="153"/>
  <c r="F40" i="153"/>
  <c r="O102" i="152"/>
  <c r="O102" i="152" a="1"/>
  <c r="M102" i="152"/>
  <c r="M102" i="152" a="1"/>
  <c r="K102" i="152"/>
  <c r="K102" i="152" a="1"/>
  <c r="I102" i="152"/>
  <c r="I102" i="152" a="1"/>
  <c r="G102" i="152"/>
  <c r="G102" i="152" a="1"/>
  <c r="O101" i="152"/>
  <c r="N101" i="152"/>
  <c r="M101" i="152"/>
  <c r="L101" i="152"/>
  <c r="K101" i="152"/>
  <c r="J101" i="152"/>
  <c r="I101" i="152"/>
  <c r="H101" i="152"/>
  <c r="G101" i="152"/>
  <c r="F101" i="152"/>
  <c r="O100" i="152"/>
  <c r="N100" i="152"/>
  <c r="M100" i="152"/>
  <c r="L100" i="152"/>
  <c r="K100" i="152"/>
  <c r="J100" i="152"/>
  <c r="I100" i="152"/>
  <c r="H100" i="152"/>
  <c r="G100" i="152"/>
  <c r="F100" i="152"/>
  <c r="O99" i="152"/>
  <c r="N99" i="152"/>
  <c r="M99" i="152"/>
  <c r="L99" i="152"/>
  <c r="K99" i="152"/>
  <c r="J99" i="152"/>
  <c r="I99" i="152"/>
  <c r="H99" i="152"/>
  <c r="G99" i="152"/>
  <c r="F99" i="152"/>
  <c r="O98" i="152"/>
  <c r="N98" i="152"/>
  <c r="M98" i="152"/>
  <c r="L98" i="152"/>
  <c r="K98" i="152"/>
  <c r="J98" i="152"/>
  <c r="I98" i="152"/>
  <c r="H98" i="152"/>
  <c r="G98" i="152"/>
  <c r="F98" i="152"/>
  <c r="O97" i="152"/>
  <c r="N97" i="152"/>
  <c r="M97" i="152"/>
  <c r="L97" i="152"/>
  <c r="K97" i="152"/>
  <c r="J97" i="152"/>
  <c r="I97" i="152"/>
  <c r="H97" i="152"/>
  <c r="G97" i="152"/>
  <c r="F97" i="152"/>
  <c r="O96" i="152"/>
  <c r="N96" i="152"/>
  <c r="M96" i="152"/>
  <c r="L96" i="152"/>
  <c r="K96" i="152"/>
  <c r="J96" i="152"/>
  <c r="I96" i="152"/>
  <c r="H96" i="152"/>
  <c r="G96" i="152"/>
  <c r="F96" i="152"/>
  <c r="O95" i="152"/>
  <c r="N95" i="152"/>
  <c r="M95" i="152"/>
  <c r="L95" i="152"/>
  <c r="K95" i="152"/>
  <c r="J95" i="152"/>
  <c r="I95" i="152"/>
  <c r="H95" i="152"/>
  <c r="G95" i="152"/>
  <c r="F95" i="152"/>
  <c r="O94" i="152"/>
  <c r="N94" i="152"/>
  <c r="M94" i="152"/>
  <c r="L94" i="152"/>
  <c r="K94" i="152"/>
  <c r="J94" i="152"/>
  <c r="I94" i="152"/>
  <c r="H94" i="152"/>
  <c r="G94" i="152"/>
  <c r="F94" i="152"/>
  <c r="O93" i="152"/>
  <c r="N93" i="152"/>
  <c r="M93" i="152"/>
  <c r="L93" i="152"/>
  <c r="K93" i="152"/>
  <c r="J93" i="152"/>
  <c r="I93" i="152"/>
  <c r="H93" i="152"/>
  <c r="G93" i="152"/>
  <c r="F93" i="152"/>
  <c r="O92" i="152"/>
  <c r="N92" i="152"/>
  <c r="M92" i="152"/>
  <c r="L92" i="152"/>
  <c r="K92" i="152"/>
  <c r="J92" i="152"/>
  <c r="I92" i="152"/>
  <c r="H92" i="152"/>
  <c r="G92" i="152"/>
  <c r="F92" i="152"/>
  <c r="O91" i="152"/>
  <c r="N91" i="152"/>
  <c r="M91" i="152"/>
  <c r="L91" i="152"/>
  <c r="K91" i="152"/>
  <c r="J91" i="152"/>
  <c r="I91" i="152"/>
  <c r="H91" i="152"/>
  <c r="G91" i="152"/>
  <c r="F91" i="152"/>
  <c r="O90" i="152"/>
  <c r="N90" i="152"/>
  <c r="M90" i="152"/>
  <c r="L90" i="152"/>
  <c r="K90" i="152"/>
  <c r="J90" i="152"/>
  <c r="I90" i="152"/>
  <c r="H90" i="152"/>
  <c r="G90" i="152"/>
  <c r="F90" i="152"/>
  <c r="O89" i="152"/>
  <c r="N89" i="152"/>
  <c r="M89" i="152"/>
  <c r="L89" i="152"/>
  <c r="K89" i="152"/>
  <c r="J89" i="152"/>
  <c r="I89" i="152"/>
  <c r="H89" i="152"/>
  <c r="G89" i="152"/>
  <c r="F89" i="152"/>
  <c r="O88" i="152"/>
  <c r="N88" i="152"/>
  <c r="M88" i="152"/>
  <c r="L88" i="152"/>
  <c r="K88" i="152"/>
  <c r="J88" i="152"/>
  <c r="I88" i="152"/>
  <c r="H88" i="152"/>
  <c r="G88" i="152"/>
  <c r="F88" i="152"/>
  <c r="O87" i="152"/>
  <c r="N87" i="152"/>
  <c r="M87" i="152"/>
  <c r="L87" i="152"/>
  <c r="K87" i="152"/>
  <c r="J87" i="152"/>
  <c r="I87" i="152"/>
  <c r="H87" i="152"/>
  <c r="G87" i="152"/>
  <c r="F87" i="152"/>
  <c r="O86" i="152"/>
  <c r="N86" i="152"/>
  <c r="M86" i="152"/>
  <c r="L86" i="152"/>
  <c r="K86" i="152"/>
  <c r="J86" i="152"/>
  <c r="I86" i="152"/>
  <c r="H86" i="152"/>
  <c r="G86" i="152"/>
  <c r="F86" i="152"/>
  <c r="O85" i="152"/>
  <c r="N85" i="152"/>
  <c r="M85" i="152"/>
  <c r="L85" i="152"/>
  <c r="K85" i="152"/>
  <c r="J85" i="152"/>
  <c r="I85" i="152"/>
  <c r="H85" i="152"/>
  <c r="G85" i="152"/>
  <c r="F85" i="152"/>
  <c r="O84" i="152"/>
  <c r="N84" i="152"/>
  <c r="M84" i="152"/>
  <c r="L84" i="152"/>
  <c r="K84" i="152"/>
  <c r="J84" i="152"/>
  <c r="I84" i="152"/>
  <c r="H84" i="152"/>
  <c r="G84" i="152"/>
  <c r="F84" i="152"/>
  <c r="O83" i="152"/>
  <c r="N83" i="152"/>
  <c r="M83" i="152"/>
  <c r="L83" i="152"/>
  <c r="K83" i="152"/>
  <c r="J83" i="152"/>
  <c r="I83" i="152"/>
  <c r="H83" i="152"/>
  <c r="G83" i="152"/>
  <c r="F83" i="152"/>
  <c r="O82" i="152"/>
  <c r="N82" i="152"/>
  <c r="M82" i="152"/>
  <c r="L82" i="152"/>
  <c r="K82" i="152"/>
  <c r="J82" i="152"/>
  <c r="I82" i="152"/>
  <c r="H82" i="152"/>
  <c r="G82" i="152"/>
  <c r="F82" i="152"/>
  <c r="O81" i="152"/>
  <c r="N81" i="152"/>
  <c r="M81" i="152"/>
  <c r="L81" i="152"/>
  <c r="K81" i="152"/>
  <c r="J81" i="152"/>
  <c r="I81" i="152"/>
  <c r="H81" i="152"/>
  <c r="G81" i="152"/>
  <c r="F81" i="152"/>
  <c r="O80" i="152"/>
  <c r="N80" i="152"/>
  <c r="M80" i="152"/>
  <c r="L80" i="152"/>
  <c r="K80" i="152"/>
  <c r="J80" i="152"/>
  <c r="I80" i="152"/>
  <c r="H80" i="152"/>
  <c r="G80" i="152"/>
  <c r="F80" i="152"/>
  <c r="O79" i="152"/>
  <c r="N79" i="152"/>
  <c r="M79" i="152"/>
  <c r="L79" i="152"/>
  <c r="K79" i="152"/>
  <c r="J79" i="152"/>
  <c r="I79" i="152"/>
  <c r="H79" i="152"/>
  <c r="G79" i="152"/>
  <c r="F79" i="152"/>
  <c r="O78" i="152"/>
  <c r="N78" i="152"/>
  <c r="M78" i="152"/>
  <c r="L78" i="152"/>
  <c r="K78" i="152"/>
  <c r="J78" i="152"/>
  <c r="I78" i="152"/>
  <c r="H78" i="152"/>
  <c r="G78" i="152"/>
  <c r="F78" i="152"/>
  <c r="O77" i="152"/>
  <c r="N77" i="152"/>
  <c r="M77" i="152"/>
  <c r="L77" i="152"/>
  <c r="K77" i="152"/>
  <c r="J77" i="152"/>
  <c r="I77" i="152"/>
  <c r="H77" i="152"/>
  <c r="G77" i="152"/>
  <c r="F77" i="152"/>
  <c r="O76" i="152"/>
  <c r="N76" i="152"/>
  <c r="M76" i="152"/>
  <c r="L76" i="152"/>
  <c r="K76" i="152"/>
  <c r="J76" i="152"/>
  <c r="I76" i="152"/>
  <c r="H76" i="152"/>
  <c r="G76" i="152"/>
  <c r="F76" i="152"/>
  <c r="O75" i="152"/>
  <c r="N75" i="152"/>
  <c r="M75" i="152"/>
  <c r="L75" i="152"/>
  <c r="K75" i="152"/>
  <c r="J75" i="152"/>
  <c r="I75" i="152"/>
  <c r="H75" i="152"/>
  <c r="G75" i="152"/>
  <c r="F75" i="152"/>
  <c r="O74" i="152"/>
  <c r="N74" i="152"/>
  <c r="M74" i="152"/>
  <c r="L74" i="152"/>
  <c r="K74" i="152"/>
  <c r="J74" i="152"/>
  <c r="I74" i="152"/>
  <c r="H74" i="152"/>
  <c r="G74" i="152"/>
  <c r="F74" i="152"/>
  <c r="O73" i="152"/>
  <c r="N73" i="152"/>
  <c r="M73" i="152"/>
  <c r="L73" i="152"/>
  <c r="K73" i="152"/>
  <c r="J73" i="152"/>
  <c r="I73" i="152"/>
  <c r="H73" i="152"/>
  <c r="G73" i="152"/>
  <c r="F73" i="152"/>
  <c r="O72" i="152"/>
  <c r="N72" i="152"/>
  <c r="M72" i="152"/>
  <c r="L72" i="152"/>
  <c r="K72" i="152"/>
  <c r="J72" i="152"/>
  <c r="I72" i="152"/>
  <c r="H72" i="152"/>
  <c r="G72" i="152"/>
  <c r="F72" i="152"/>
  <c r="O71" i="152"/>
  <c r="N71" i="152"/>
  <c r="M71" i="152"/>
  <c r="L71" i="152"/>
  <c r="K71" i="152"/>
  <c r="J71" i="152"/>
  <c r="I71" i="152"/>
  <c r="H71" i="152"/>
  <c r="G71" i="152"/>
  <c r="F71" i="152"/>
  <c r="O70" i="152"/>
  <c r="N70" i="152"/>
  <c r="M70" i="152"/>
  <c r="L70" i="152"/>
  <c r="K70" i="152"/>
  <c r="J70" i="152"/>
  <c r="I70" i="152"/>
  <c r="H70" i="152"/>
  <c r="G70" i="152"/>
  <c r="F70" i="152"/>
  <c r="O69" i="152"/>
  <c r="N69" i="152"/>
  <c r="M69" i="152"/>
  <c r="L69" i="152"/>
  <c r="K69" i="152"/>
  <c r="J69" i="152"/>
  <c r="I69" i="152"/>
  <c r="H69" i="152"/>
  <c r="G69" i="152"/>
  <c r="F69" i="152"/>
  <c r="O68" i="152"/>
  <c r="N68" i="152"/>
  <c r="M68" i="152"/>
  <c r="L68" i="152"/>
  <c r="K68" i="152"/>
  <c r="J68" i="152"/>
  <c r="I68" i="152"/>
  <c r="H68" i="152"/>
  <c r="G68" i="152"/>
  <c r="F68" i="152"/>
  <c r="O67" i="152"/>
  <c r="N67" i="152"/>
  <c r="M67" i="152"/>
  <c r="L67" i="152"/>
  <c r="K67" i="152"/>
  <c r="J67" i="152"/>
  <c r="I67" i="152"/>
  <c r="H67" i="152"/>
  <c r="G67" i="152"/>
  <c r="F67" i="152"/>
  <c r="O66" i="152"/>
  <c r="N66" i="152"/>
  <c r="M66" i="152"/>
  <c r="L66" i="152"/>
  <c r="K66" i="152"/>
  <c r="J66" i="152"/>
  <c r="I66" i="152"/>
  <c r="H66" i="152"/>
  <c r="G66" i="152"/>
  <c r="F66" i="152"/>
  <c r="O65" i="152"/>
  <c r="N65" i="152"/>
  <c r="M65" i="152"/>
  <c r="L65" i="152"/>
  <c r="K65" i="152"/>
  <c r="J65" i="152"/>
  <c r="I65" i="152"/>
  <c r="H65" i="152"/>
  <c r="G65" i="152"/>
  <c r="F65" i="152"/>
  <c r="O64" i="152"/>
  <c r="N64" i="152"/>
  <c r="M64" i="152"/>
  <c r="L64" i="152"/>
  <c r="K64" i="152"/>
  <c r="J64" i="152"/>
  <c r="I64" i="152"/>
  <c r="H64" i="152"/>
  <c r="G64" i="152"/>
  <c r="F64" i="152"/>
  <c r="O63" i="152"/>
  <c r="N63" i="152"/>
  <c r="M63" i="152"/>
  <c r="L63" i="152"/>
  <c r="K63" i="152"/>
  <c r="J63" i="152"/>
  <c r="I63" i="152"/>
  <c r="H63" i="152"/>
  <c r="G63" i="152"/>
  <c r="F63" i="152"/>
  <c r="O62" i="152"/>
  <c r="N62" i="152"/>
  <c r="M62" i="152"/>
  <c r="L62" i="152"/>
  <c r="K62" i="152"/>
  <c r="J62" i="152"/>
  <c r="I62" i="152"/>
  <c r="H62" i="152"/>
  <c r="G62" i="152"/>
  <c r="F62" i="152"/>
  <c r="O61" i="152"/>
  <c r="N61" i="152"/>
  <c r="M61" i="152"/>
  <c r="L61" i="152"/>
  <c r="K61" i="152"/>
  <c r="J61" i="152"/>
  <c r="I61" i="152"/>
  <c r="H61" i="152"/>
  <c r="G61" i="152"/>
  <c r="F61" i="152"/>
  <c r="O60" i="152"/>
  <c r="N60" i="152"/>
  <c r="M60" i="152"/>
  <c r="L60" i="152"/>
  <c r="K60" i="152"/>
  <c r="J60" i="152"/>
  <c r="I60" i="152"/>
  <c r="H60" i="152"/>
  <c r="G60" i="152"/>
  <c r="F60" i="152"/>
  <c r="O59" i="152"/>
  <c r="N59" i="152"/>
  <c r="M59" i="152"/>
  <c r="L59" i="152"/>
  <c r="K59" i="152"/>
  <c r="J59" i="152"/>
  <c r="I59" i="152"/>
  <c r="H59" i="152"/>
  <c r="G59" i="152"/>
  <c r="F59" i="152"/>
  <c r="O58" i="152"/>
  <c r="N58" i="152"/>
  <c r="M58" i="152"/>
  <c r="L58" i="152"/>
  <c r="K58" i="152"/>
  <c r="J58" i="152"/>
  <c r="I58" i="152"/>
  <c r="H58" i="152"/>
  <c r="G58" i="152"/>
  <c r="F58" i="152"/>
  <c r="O57" i="152"/>
  <c r="N57" i="152"/>
  <c r="M57" i="152"/>
  <c r="L57" i="152"/>
  <c r="K57" i="152"/>
  <c r="J57" i="152"/>
  <c r="I57" i="152"/>
  <c r="H57" i="152"/>
  <c r="G57" i="152"/>
  <c r="F57" i="152"/>
  <c r="O56" i="152"/>
  <c r="N56" i="152"/>
  <c r="M56" i="152"/>
  <c r="L56" i="152"/>
  <c r="K56" i="152"/>
  <c r="J56" i="152"/>
  <c r="I56" i="152"/>
  <c r="H56" i="152"/>
  <c r="G56" i="152"/>
  <c r="F56" i="152"/>
  <c r="O55" i="152"/>
  <c r="N55" i="152"/>
  <c r="M55" i="152"/>
  <c r="L55" i="152"/>
  <c r="K55" i="152"/>
  <c r="J55" i="152"/>
  <c r="I55" i="152"/>
  <c r="H55" i="152"/>
  <c r="G55" i="152"/>
  <c r="F55" i="152"/>
  <c r="O54" i="152"/>
  <c r="N54" i="152"/>
  <c r="M54" i="152"/>
  <c r="L54" i="152"/>
  <c r="K54" i="152"/>
  <c r="J54" i="152"/>
  <c r="I54" i="152"/>
  <c r="H54" i="152"/>
  <c r="G54" i="152"/>
  <c r="F54" i="152"/>
  <c r="O53" i="152"/>
  <c r="N53" i="152"/>
  <c r="M53" i="152"/>
  <c r="L53" i="152"/>
  <c r="K53" i="152"/>
  <c r="J53" i="152"/>
  <c r="I53" i="152"/>
  <c r="H53" i="152"/>
  <c r="G53" i="152"/>
  <c r="F53" i="152"/>
  <c r="O52" i="152"/>
  <c r="N52" i="152"/>
  <c r="M52" i="152"/>
  <c r="L52" i="152"/>
  <c r="K52" i="152"/>
  <c r="J52" i="152"/>
  <c r="I52" i="152"/>
  <c r="H52" i="152"/>
  <c r="G52" i="152"/>
  <c r="F52" i="152"/>
  <c r="O51" i="152"/>
  <c r="N51" i="152"/>
  <c r="M51" i="152"/>
  <c r="L51" i="152"/>
  <c r="K51" i="152"/>
  <c r="J51" i="152"/>
  <c r="I51" i="152"/>
  <c r="H51" i="152"/>
  <c r="G51" i="152"/>
  <c r="F51" i="152"/>
  <c r="O50" i="152"/>
  <c r="N50" i="152"/>
  <c r="M50" i="152"/>
  <c r="L50" i="152"/>
  <c r="K50" i="152"/>
  <c r="J50" i="152"/>
  <c r="I50" i="152"/>
  <c r="H50" i="152"/>
  <c r="G50" i="152"/>
  <c r="F50" i="152"/>
  <c r="O46" i="152"/>
  <c r="N46" i="152"/>
  <c r="M46" i="152"/>
  <c r="L46" i="152"/>
  <c r="K46" i="152"/>
  <c r="J46" i="152"/>
  <c r="I46" i="152"/>
  <c r="H46" i="152"/>
  <c r="G46" i="152"/>
  <c r="F46" i="152"/>
  <c r="O42" i="152"/>
  <c r="N42" i="152"/>
  <c r="M42" i="152"/>
  <c r="L42" i="152"/>
  <c r="K42" i="152"/>
  <c r="J42" i="152"/>
  <c r="I42" i="152"/>
  <c r="H42" i="152"/>
  <c r="G42" i="152"/>
  <c r="F42" i="152"/>
  <c r="O38" i="152"/>
  <c r="N38" i="152"/>
  <c r="M38" i="152"/>
  <c r="L38" i="152"/>
  <c r="K38" i="152"/>
  <c r="J38" i="152"/>
  <c r="I38" i="152"/>
  <c r="H38" i="152"/>
  <c r="G38" i="152"/>
  <c r="F38" i="152"/>
  <c r="O75" i="141"/>
  <c r="O75" i="141" a="1"/>
  <c r="M75" i="141"/>
  <c r="M75" i="141" a="1"/>
  <c r="K75" i="141"/>
  <c r="K75" i="141" a="1"/>
  <c r="I75" i="141"/>
  <c r="I75" i="141" a="1"/>
  <c r="G75" i="141"/>
  <c r="G75" i="141" a="1"/>
  <c r="O74" i="141"/>
  <c r="N74" i="141"/>
  <c r="M74" i="141"/>
  <c r="L74" i="141"/>
  <c r="K74" i="141"/>
  <c r="J74" i="141"/>
  <c r="I74" i="141"/>
  <c r="H74" i="141"/>
  <c r="G74" i="141"/>
  <c r="F74" i="141"/>
  <c r="O73" i="141"/>
  <c r="N73" i="141"/>
  <c r="M73" i="141"/>
  <c r="L73" i="141"/>
  <c r="K73" i="141"/>
  <c r="J73" i="141"/>
  <c r="I73" i="141"/>
  <c r="H73" i="141"/>
  <c r="G73" i="141"/>
  <c r="F73" i="141"/>
  <c r="O72" i="141"/>
  <c r="N72" i="141"/>
  <c r="M72" i="141"/>
  <c r="L72" i="141"/>
  <c r="K72" i="141"/>
  <c r="J72" i="141"/>
  <c r="I72" i="141"/>
  <c r="H72" i="141"/>
  <c r="G72" i="141"/>
  <c r="F72" i="141"/>
  <c r="O71" i="141"/>
  <c r="N71" i="141"/>
  <c r="M71" i="141"/>
  <c r="L71" i="141"/>
  <c r="K71" i="141"/>
  <c r="J71" i="141"/>
  <c r="I71" i="141"/>
  <c r="H71" i="141"/>
  <c r="G71" i="141"/>
  <c r="F71" i="141"/>
  <c r="O70" i="141"/>
  <c r="N70" i="141"/>
  <c r="M70" i="141"/>
  <c r="L70" i="141"/>
  <c r="K70" i="141"/>
  <c r="J70" i="141"/>
  <c r="I70" i="141"/>
  <c r="H70" i="141"/>
  <c r="G70" i="141"/>
  <c r="F70" i="141"/>
  <c r="O69" i="141"/>
  <c r="N69" i="141"/>
  <c r="M69" i="141"/>
  <c r="L69" i="141"/>
  <c r="K69" i="141"/>
  <c r="J69" i="141"/>
  <c r="I69" i="141"/>
  <c r="H69" i="141"/>
  <c r="G69" i="141"/>
  <c r="F69" i="141"/>
  <c r="O68" i="141"/>
  <c r="N68" i="141"/>
  <c r="M68" i="141"/>
  <c r="L68" i="141"/>
  <c r="K68" i="141"/>
  <c r="J68" i="141"/>
  <c r="I68" i="141"/>
  <c r="H68" i="141"/>
  <c r="G68" i="141"/>
  <c r="F68" i="141"/>
  <c r="O67" i="141"/>
  <c r="N67" i="141"/>
  <c r="M67" i="141"/>
  <c r="L67" i="141"/>
  <c r="K67" i="141"/>
  <c r="J67" i="141"/>
  <c r="I67" i="141"/>
  <c r="H67" i="141"/>
  <c r="G67" i="141"/>
  <c r="F67" i="141"/>
  <c r="O66" i="141"/>
  <c r="N66" i="141"/>
  <c r="M66" i="141"/>
  <c r="L66" i="141"/>
  <c r="K66" i="141"/>
  <c r="J66" i="141"/>
  <c r="I66" i="141"/>
  <c r="H66" i="141"/>
  <c r="G66" i="141"/>
  <c r="F66" i="141"/>
  <c r="O65" i="141"/>
  <c r="N65" i="141"/>
  <c r="M65" i="141"/>
  <c r="L65" i="141"/>
  <c r="K65" i="141"/>
  <c r="J65" i="141"/>
  <c r="I65" i="141"/>
  <c r="H65" i="141"/>
  <c r="G65" i="141"/>
  <c r="F65" i="141"/>
  <c r="O64" i="141"/>
  <c r="N64" i="141"/>
  <c r="M64" i="141"/>
  <c r="L64" i="141"/>
  <c r="K64" i="141"/>
  <c r="J64" i="141"/>
  <c r="I64" i="141"/>
  <c r="H64" i="141"/>
  <c r="G64" i="141"/>
  <c r="F64" i="141"/>
  <c r="O63" i="141"/>
  <c r="N63" i="141"/>
  <c r="M63" i="141"/>
  <c r="L63" i="141"/>
  <c r="K63" i="141"/>
  <c r="J63" i="141"/>
  <c r="I63" i="141"/>
  <c r="H63" i="141"/>
  <c r="G63" i="141"/>
  <c r="F63" i="141"/>
  <c r="O62" i="141"/>
  <c r="N62" i="141"/>
  <c r="M62" i="141"/>
  <c r="L62" i="141"/>
  <c r="K62" i="141"/>
  <c r="J62" i="141"/>
  <c r="I62" i="141"/>
  <c r="H62" i="141"/>
  <c r="G62" i="141"/>
  <c r="F62" i="141"/>
  <c r="O61" i="141"/>
  <c r="N61" i="141"/>
  <c r="M61" i="141"/>
  <c r="L61" i="141"/>
  <c r="K61" i="141"/>
  <c r="J61" i="141"/>
  <c r="I61" i="141"/>
  <c r="H61" i="141"/>
  <c r="G61" i="141"/>
  <c r="F61" i="141"/>
  <c r="O60" i="141"/>
  <c r="N60" i="141"/>
  <c r="M60" i="141"/>
  <c r="L60" i="141"/>
  <c r="K60" i="141"/>
  <c r="J60" i="141"/>
  <c r="I60" i="141"/>
  <c r="H60" i="141"/>
  <c r="G60" i="141"/>
  <c r="F60" i="141"/>
  <c r="O59" i="141"/>
  <c r="N59" i="141"/>
  <c r="M59" i="141"/>
  <c r="L59" i="141"/>
  <c r="K59" i="141"/>
  <c r="J59" i="141"/>
  <c r="I59" i="141"/>
  <c r="H59" i="141"/>
  <c r="G59" i="141"/>
  <c r="F59" i="141"/>
  <c r="O58" i="141"/>
  <c r="N58" i="141"/>
  <c r="M58" i="141"/>
  <c r="L58" i="141"/>
  <c r="K58" i="141"/>
  <c r="J58" i="141"/>
  <c r="I58" i="141"/>
  <c r="H58" i="141"/>
  <c r="G58" i="141"/>
  <c r="F58" i="141"/>
  <c r="O57" i="141"/>
  <c r="N57" i="141"/>
  <c r="M57" i="141"/>
  <c r="L57" i="141"/>
  <c r="K57" i="141"/>
  <c r="J57" i="141"/>
  <c r="I57" i="141"/>
  <c r="H57" i="141"/>
  <c r="G57" i="141"/>
  <c r="F57" i="141"/>
  <c r="O56" i="141"/>
  <c r="N56" i="141"/>
  <c r="M56" i="141"/>
  <c r="L56" i="141"/>
  <c r="K56" i="141"/>
  <c r="J56" i="141"/>
  <c r="I56" i="141"/>
  <c r="H56" i="141"/>
  <c r="G56" i="141"/>
  <c r="F56" i="141"/>
  <c r="O55" i="141"/>
  <c r="N55" i="141"/>
  <c r="M55" i="141"/>
  <c r="L55" i="141"/>
  <c r="K55" i="141"/>
  <c r="J55" i="141"/>
  <c r="I55" i="141"/>
  <c r="H55" i="141"/>
  <c r="G55" i="141"/>
  <c r="F55" i="141"/>
  <c r="O54" i="141"/>
  <c r="N54" i="141"/>
  <c r="M54" i="141"/>
  <c r="L54" i="141"/>
  <c r="K54" i="141"/>
  <c r="J54" i="141"/>
  <c r="I54" i="141"/>
  <c r="H54" i="141"/>
  <c r="G54" i="141"/>
  <c r="F54" i="141"/>
  <c r="O53" i="141"/>
  <c r="N53" i="141"/>
  <c r="M53" i="141"/>
  <c r="L53" i="141"/>
  <c r="K53" i="141"/>
  <c r="J53" i="141"/>
  <c r="I53" i="141"/>
  <c r="H53" i="141"/>
  <c r="G53" i="141"/>
  <c r="F53" i="141"/>
  <c r="O52" i="141"/>
  <c r="N52" i="141"/>
  <c r="M52" i="141"/>
  <c r="L52" i="141"/>
  <c r="K52" i="141"/>
  <c r="J52" i="141"/>
  <c r="I52" i="141"/>
  <c r="H52" i="141"/>
  <c r="G52" i="141"/>
  <c r="F52" i="141"/>
  <c r="O51" i="141"/>
  <c r="N51" i="141"/>
  <c r="M51" i="141"/>
  <c r="L51" i="141"/>
  <c r="K51" i="141"/>
  <c r="J51" i="141"/>
  <c r="I51" i="141"/>
  <c r="H51" i="141"/>
  <c r="G51" i="141"/>
  <c r="F51" i="141"/>
  <c r="O50" i="141"/>
  <c r="N50" i="141"/>
  <c r="M50" i="141"/>
  <c r="L50" i="141"/>
  <c r="K50" i="141"/>
  <c r="J50" i="141"/>
  <c r="I50" i="141"/>
  <c r="H50" i="141"/>
  <c r="G50" i="141"/>
  <c r="F50" i="141"/>
  <c r="O46" i="141"/>
  <c r="N46" i="141"/>
  <c r="M46" i="141"/>
  <c r="L46" i="141"/>
  <c r="K46" i="141"/>
  <c r="J46" i="141"/>
  <c r="I46" i="141"/>
  <c r="H46" i="141"/>
  <c r="G46" i="141"/>
  <c r="F46" i="141"/>
  <c r="O42" i="141"/>
  <c r="N42" i="141"/>
  <c r="M42" i="141"/>
  <c r="L42" i="141"/>
  <c r="K42" i="141"/>
  <c r="J42" i="141"/>
  <c r="I42" i="141"/>
  <c r="H42" i="141"/>
  <c r="G42" i="141"/>
  <c r="F42" i="141"/>
  <c r="O38" i="141"/>
  <c r="N38" i="141"/>
  <c r="M38" i="141"/>
  <c r="L38" i="141"/>
  <c r="K38" i="141"/>
  <c r="J38" i="141"/>
  <c r="I38" i="141"/>
  <c r="H38" i="141"/>
  <c r="G38" i="141"/>
  <c r="F38" i="141"/>
  <c r="O102" i="151"/>
  <c r="O102" i="151" a="1"/>
  <c r="M102" i="151"/>
  <c r="M102" i="151" a="1"/>
  <c r="K102" i="151"/>
  <c r="K102" i="151" a="1"/>
  <c r="I102" i="151"/>
  <c r="I102" i="151" a="1"/>
  <c r="G102" i="151"/>
  <c r="G102" i="151" a="1"/>
  <c r="O101" i="151"/>
  <c r="N101" i="151"/>
  <c r="M101" i="151"/>
  <c r="L101" i="151"/>
  <c r="K101" i="151"/>
  <c r="J101" i="151"/>
  <c r="I101" i="151"/>
  <c r="H101" i="151"/>
  <c r="G101" i="151"/>
  <c r="F101" i="151"/>
  <c r="O100" i="151"/>
  <c r="N100" i="151"/>
  <c r="M100" i="151"/>
  <c r="L100" i="151"/>
  <c r="K100" i="151"/>
  <c r="J100" i="151"/>
  <c r="I100" i="151"/>
  <c r="H100" i="151"/>
  <c r="G100" i="151"/>
  <c r="F100" i="151"/>
  <c r="O99" i="151"/>
  <c r="N99" i="151"/>
  <c r="M99" i="151"/>
  <c r="L99" i="151"/>
  <c r="K99" i="151"/>
  <c r="J99" i="151"/>
  <c r="I99" i="151"/>
  <c r="H99" i="151"/>
  <c r="G99" i="151"/>
  <c r="F99" i="151"/>
  <c r="O98" i="151"/>
  <c r="N98" i="151"/>
  <c r="M98" i="151"/>
  <c r="L98" i="151"/>
  <c r="K98" i="151"/>
  <c r="J98" i="151"/>
  <c r="I98" i="151"/>
  <c r="H98" i="151"/>
  <c r="G98" i="151"/>
  <c r="F98" i="151"/>
  <c r="O97" i="151"/>
  <c r="N97" i="151"/>
  <c r="M97" i="151"/>
  <c r="L97" i="151"/>
  <c r="K97" i="151"/>
  <c r="J97" i="151"/>
  <c r="I97" i="151"/>
  <c r="H97" i="151"/>
  <c r="G97" i="151"/>
  <c r="F97" i="151"/>
  <c r="O96" i="151"/>
  <c r="N96" i="151"/>
  <c r="M96" i="151"/>
  <c r="L96" i="151"/>
  <c r="K96" i="151"/>
  <c r="J96" i="151"/>
  <c r="I96" i="151"/>
  <c r="H96" i="151"/>
  <c r="G96" i="151"/>
  <c r="F96" i="151"/>
  <c r="O95" i="151"/>
  <c r="N95" i="151"/>
  <c r="M95" i="151"/>
  <c r="L95" i="151"/>
  <c r="K95" i="151"/>
  <c r="J95" i="151"/>
  <c r="I95" i="151"/>
  <c r="H95" i="151"/>
  <c r="G95" i="151"/>
  <c r="F95" i="151"/>
  <c r="O94" i="151"/>
  <c r="N94" i="151"/>
  <c r="M94" i="151"/>
  <c r="L94" i="151"/>
  <c r="K94" i="151"/>
  <c r="J94" i="151"/>
  <c r="I94" i="151"/>
  <c r="H94" i="151"/>
  <c r="G94" i="151"/>
  <c r="F94" i="151"/>
  <c r="O93" i="151"/>
  <c r="N93" i="151"/>
  <c r="M93" i="151"/>
  <c r="L93" i="151"/>
  <c r="K93" i="151"/>
  <c r="J93" i="151"/>
  <c r="I93" i="151"/>
  <c r="H93" i="151"/>
  <c r="G93" i="151"/>
  <c r="F93" i="151"/>
  <c r="O92" i="151"/>
  <c r="N92" i="151"/>
  <c r="M92" i="151"/>
  <c r="L92" i="151"/>
  <c r="K92" i="151"/>
  <c r="J92" i="151"/>
  <c r="I92" i="151"/>
  <c r="H92" i="151"/>
  <c r="G92" i="151"/>
  <c r="F92" i="151"/>
  <c r="O91" i="151"/>
  <c r="N91" i="151"/>
  <c r="M91" i="151"/>
  <c r="L91" i="151"/>
  <c r="K91" i="151"/>
  <c r="J91" i="151"/>
  <c r="I91" i="151"/>
  <c r="H91" i="151"/>
  <c r="G91" i="151"/>
  <c r="F91" i="151"/>
  <c r="O90" i="151"/>
  <c r="N90" i="151"/>
  <c r="M90" i="151"/>
  <c r="L90" i="151"/>
  <c r="K90" i="151"/>
  <c r="J90" i="151"/>
  <c r="I90" i="151"/>
  <c r="H90" i="151"/>
  <c r="G90" i="151"/>
  <c r="F90" i="151"/>
  <c r="O89" i="151"/>
  <c r="N89" i="151"/>
  <c r="M89" i="151"/>
  <c r="L89" i="151"/>
  <c r="K89" i="151"/>
  <c r="J89" i="151"/>
  <c r="I89" i="151"/>
  <c r="H89" i="151"/>
  <c r="G89" i="151"/>
  <c r="F89" i="151"/>
  <c r="O88" i="151"/>
  <c r="N88" i="151"/>
  <c r="M88" i="151"/>
  <c r="L88" i="151"/>
  <c r="K88" i="151"/>
  <c r="J88" i="151"/>
  <c r="I88" i="151"/>
  <c r="H88" i="151"/>
  <c r="G88" i="151"/>
  <c r="F88" i="151"/>
  <c r="O87" i="151"/>
  <c r="N87" i="151"/>
  <c r="M87" i="151"/>
  <c r="L87" i="151"/>
  <c r="K87" i="151"/>
  <c r="J87" i="151"/>
  <c r="I87" i="151"/>
  <c r="H87" i="151"/>
  <c r="G87" i="151"/>
  <c r="F87" i="151"/>
  <c r="O86" i="151"/>
  <c r="N86" i="151"/>
  <c r="M86" i="151"/>
  <c r="L86" i="151"/>
  <c r="K86" i="151"/>
  <c r="J86" i="151"/>
  <c r="I86" i="151"/>
  <c r="H86" i="151"/>
  <c r="G86" i="151"/>
  <c r="F86" i="151"/>
  <c r="O85" i="151"/>
  <c r="N85" i="151"/>
  <c r="M85" i="151"/>
  <c r="L85" i="151"/>
  <c r="K85" i="151"/>
  <c r="J85" i="151"/>
  <c r="I85" i="151"/>
  <c r="H85" i="151"/>
  <c r="G85" i="151"/>
  <c r="F85" i="151"/>
  <c r="O84" i="151"/>
  <c r="N84" i="151"/>
  <c r="M84" i="151"/>
  <c r="L84" i="151"/>
  <c r="K84" i="151"/>
  <c r="J84" i="151"/>
  <c r="I84" i="151"/>
  <c r="H84" i="151"/>
  <c r="G84" i="151"/>
  <c r="F84" i="151"/>
  <c r="O83" i="151"/>
  <c r="N83" i="151"/>
  <c r="M83" i="151"/>
  <c r="L83" i="151"/>
  <c r="K83" i="151"/>
  <c r="J83" i="151"/>
  <c r="I83" i="151"/>
  <c r="H83" i="151"/>
  <c r="G83" i="151"/>
  <c r="F83" i="151"/>
  <c r="O82" i="151"/>
  <c r="N82" i="151"/>
  <c r="M82" i="151"/>
  <c r="L82" i="151"/>
  <c r="K82" i="151"/>
  <c r="J82" i="151"/>
  <c r="I82" i="151"/>
  <c r="H82" i="151"/>
  <c r="G82" i="151"/>
  <c r="F82" i="151"/>
  <c r="O81" i="151"/>
  <c r="N81" i="151"/>
  <c r="M81" i="151"/>
  <c r="L81" i="151"/>
  <c r="K81" i="151"/>
  <c r="J81" i="151"/>
  <c r="I81" i="151"/>
  <c r="H81" i="151"/>
  <c r="G81" i="151"/>
  <c r="F81" i="151"/>
  <c r="O80" i="151"/>
  <c r="N80" i="151"/>
  <c r="M80" i="151"/>
  <c r="L80" i="151"/>
  <c r="K80" i="151"/>
  <c r="J80" i="151"/>
  <c r="I80" i="151"/>
  <c r="H80" i="151"/>
  <c r="G80" i="151"/>
  <c r="F80" i="151"/>
  <c r="O79" i="151"/>
  <c r="N79" i="151"/>
  <c r="M79" i="151"/>
  <c r="L79" i="151"/>
  <c r="K79" i="151"/>
  <c r="J79" i="151"/>
  <c r="I79" i="151"/>
  <c r="H79" i="151"/>
  <c r="G79" i="151"/>
  <c r="F79" i="151"/>
  <c r="O78" i="151"/>
  <c r="N78" i="151"/>
  <c r="M78" i="151"/>
  <c r="L78" i="151"/>
  <c r="K78" i="151"/>
  <c r="J78" i="151"/>
  <c r="I78" i="151"/>
  <c r="H78" i="151"/>
  <c r="G78" i="151"/>
  <c r="F78" i="151"/>
  <c r="O77" i="151"/>
  <c r="N77" i="151"/>
  <c r="M77" i="151"/>
  <c r="L77" i="151"/>
  <c r="K77" i="151"/>
  <c r="J77" i="151"/>
  <c r="I77" i="151"/>
  <c r="H77" i="151"/>
  <c r="G77" i="151"/>
  <c r="F77" i="151"/>
  <c r="O76" i="151"/>
  <c r="N76" i="151"/>
  <c r="M76" i="151"/>
  <c r="L76" i="151"/>
  <c r="K76" i="151"/>
  <c r="J76" i="151"/>
  <c r="I76" i="151"/>
  <c r="H76" i="151"/>
  <c r="G76" i="151"/>
  <c r="F76" i="151"/>
  <c r="O75" i="151"/>
  <c r="N75" i="151"/>
  <c r="M75" i="151"/>
  <c r="L75" i="151"/>
  <c r="K75" i="151"/>
  <c r="J75" i="151"/>
  <c r="I75" i="151"/>
  <c r="H75" i="151"/>
  <c r="G75" i="151"/>
  <c r="F75" i="151"/>
  <c r="O74" i="151"/>
  <c r="N74" i="151"/>
  <c r="M74" i="151"/>
  <c r="L74" i="151"/>
  <c r="K74" i="151"/>
  <c r="J74" i="151"/>
  <c r="I74" i="151"/>
  <c r="H74" i="151"/>
  <c r="G74" i="151"/>
  <c r="F74" i="151"/>
  <c r="O73" i="151"/>
  <c r="N73" i="151"/>
  <c r="M73" i="151"/>
  <c r="L73" i="151"/>
  <c r="K73" i="151"/>
  <c r="J73" i="151"/>
  <c r="I73" i="151"/>
  <c r="H73" i="151"/>
  <c r="G73" i="151"/>
  <c r="F73" i="151"/>
  <c r="O72" i="151"/>
  <c r="N72" i="151"/>
  <c r="M72" i="151"/>
  <c r="L72" i="151"/>
  <c r="K72" i="151"/>
  <c r="J72" i="151"/>
  <c r="I72" i="151"/>
  <c r="H72" i="151"/>
  <c r="G72" i="151"/>
  <c r="F72" i="151"/>
  <c r="O71" i="151"/>
  <c r="N71" i="151"/>
  <c r="M71" i="151"/>
  <c r="L71" i="151"/>
  <c r="K71" i="151"/>
  <c r="J71" i="151"/>
  <c r="I71" i="151"/>
  <c r="H71" i="151"/>
  <c r="G71" i="151"/>
  <c r="F71" i="151"/>
  <c r="O70" i="151"/>
  <c r="N70" i="151"/>
  <c r="M70" i="151"/>
  <c r="L70" i="151"/>
  <c r="K70" i="151"/>
  <c r="J70" i="151"/>
  <c r="I70" i="151"/>
  <c r="H70" i="151"/>
  <c r="G70" i="151"/>
  <c r="F70" i="151"/>
  <c r="O69" i="151"/>
  <c r="N69" i="151"/>
  <c r="M69" i="151"/>
  <c r="L69" i="151"/>
  <c r="K69" i="151"/>
  <c r="J69" i="151"/>
  <c r="I69" i="151"/>
  <c r="H69" i="151"/>
  <c r="G69" i="151"/>
  <c r="F69" i="151"/>
  <c r="O68" i="151"/>
  <c r="N68" i="151"/>
  <c r="M68" i="151"/>
  <c r="L68" i="151"/>
  <c r="K68" i="151"/>
  <c r="J68" i="151"/>
  <c r="I68" i="151"/>
  <c r="H68" i="151"/>
  <c r="G68" i="151"/>
  <c r="F68" i="151"/>
  <c r="O67" i="151"/>
  <c r="N67" i="151"/>
  <c r="M67" i="151"/>
  <c r="L67" i="151"/>
  <c r="K67" i="151"/>
  <c r="J67" i="151"/>
  <c r="I67" i="151"/>
  <c r="H67" i="151"/>
  <c r="G67" i="151"/>
  <c r="F67" i="151"/>
  <c r="O66" i="151"/>
  <c r="N66" i="151"/>
  <c r="M66" i="151"/>
  <c r="L66" i="151"/>
  <c r="K66" i="151"/>
  <c r="J66" i="151"/>
  <c r="I66" i="151"/>
  <c r="H66" i="151"/>
  <c r="G66" i="151"/>
  <c r="F66" i="151"/>
  <c r="O65" i="151"/>
  <c r="N65" i="151"/>
  <c r="M65" i="151"/>
  <c r="L65" i="151"/>
  <c r="K65" i="151"/>
  <c r="J65" i="151"/>
  <c r="I65" i="151"/>
  <c r="H65" i="151"/>
  <c r="G65" i="151"/>
  <c r="F65" i="151"/>
  <c r="O64" i="151"/>
  <c r="N64" i="151"/>
  <c r="M64" i="151"/>
  <c r="L64" i="151"/>
  <c r="K64" i="151"/>
  <c r="J64" i="151"/>
  <c r="I64" i="151"/>
  <c r="H64" i="151"/>
  <c r="G64" i="151"/>
  <c r="F64" i="151"/>
  <c r="O63" i="151"/>
  <c r="N63" i="151"/>
  <c r="M63" i="151"/>
  <c r="L63" i="151"/>
  <c r="K63" i="151"/>
  <c r="J63" i="151"/>
  <c r="I63" i="151"/>
  <c r="H63" i="151"/>
  <c r="G63" i="151"/>
  <c r="F63" i="151"/>
  <c r="O62" i="151"/>
  <c r="N62" i="151"/>
  <c r="M62" i="151"/>
  <c r="L62" i="151"/>
  <c r="K62" i="151"/>
  <c r="J62" i="151"/>
  <c r="I62" i="151"/>
  <c r="H62" i="151"/>
  <c r="G62" i="151"/>
  <c r="F62" i="151"/>
  <c r="O61" i="151"/>
  <c r="N61" i="151"/>
  <c r="M61" i="151"/>
  <c r="L61" i="151"/>
  <c r="K61" i="151"/>
  <c r="J61" i="151"/>
  <c r="I61" i="151"/>
  <c r="H61" i="151"/>
  <c r="G61" i="151"/>
  <c r="F61" i="151"/>
  <c r="O60" i="151"/>
  <c r="N60" i="151"/>
  <c r="M60" i="151"/>
  <c r="L60" i="151"/>
  <c r="K60" i="151"/>
  <c r="J60" i="151"/>
  <c r="I60" i="151"/>
  <c r="H60" i="151"/>
  <c r="G60" i="151"/>
  <c r="F60" i="151"/>
  <c r="O59" i="151"/>
  <c r="N59" i="151"/>
  <c r="M59" i="151"/>
  <c r="L59" i="151"/>
  <c r="K59" i="151"/>
  <c r="J59" i="151"/>
  <c r="I59" i="151"/>
  <c r="H59" i="151"/>
  <c r="G59" i="151"/>
  <c r="F59" i="151"/>
  <c r="O58" i="151"/>
  <c r="N58" i="151"/>
  <c r="M58" i="151"/>
  <c r="L58" i="151"/>
  <c r="K58" i="151"/>
  <c r="J58" i="151"/>
  <c r="I58" i="151"/>
  <c r="H58" i="151"/>
  <c r="G58" i="151"/>
  <c r="F58" i="151"/>
  <c r="O57" i="151"/>
  <c r="N57" i="151"/>
  <c r="M57" i="151"/>
  <c r="L57" i="151"/>
  <c r="K57" i="151"/>
  <c r="J57" i="151"/>
  <c r="I57" i="151"/>
  <c r="H57" i="151"/>
  <c r="G57" i="151"/>
  <c r="F57" i="151"/>
  <c r="O56" i="151"/>
  <c r="N56" i="151"/>
  <c r="M56" i="151"/>
  <c r="L56" i="151"/>
  <c r="K56" i="151"/>
  <c r="J56" i="151"/>
  <c r="I56" i="151"/>
  <c r="H56" i="151"/>
  <c r="G56" i="151"/>
  <c r="F56" i="151"/>
  <c r="O55" i="151"/>
  <c r="N55" i="151"/>
  <c r="M55" i="151"/>
  <c r="L55" i="151"/>
  <c r="K55" i="151"/>
  <c r="J55" i="151"/>
  <c r="I55" i="151"/>
  <c r="H55" i="151"/>
  <c r="G55" i="151"/>
  <c r="F55" i="151"/>
  <c r="O54" i="151"/>
  <c r="N54" i="151"/>
  <c r="M54" i="151"/>
  <c r="L54" i="151"/>
  <c r="K54" i="151"/>
  <c r="J54" i="151"/>
  <c r="I54" i="151"/>
  <c r="H54" i="151"/>
  <c r="G54" i="151"/>
  <c r="F54" i="151"/>
  <c r="O53" i="151"/>
  <c r="N53" i="151"/>
  <c r="M53" i="151"/>
  <c r="L53" i="151"/>
  <c r="K53" i="151"/>
  <c r="J53" i="151"/>
  <c r="I53" i="151"/>
  <c r="H53" i="151"/>
  <c r="G53" i="151"/>
  <c r="F53" i="151"/>
  <c r="O52" i="151"/>
  <c r="N52" i="151"/>
  <c r="M52" i="151"/>
  <c r="L52" i="151"/>
  <c r="K52" i="151"/>
  <c r="J52" i="151"/>
  <c r="I52" i="151"/>
  <c r="H52" i="151"/>
  <c r="G52" i="151"/>
  <c r="F52" i="151"/>
  <c r="O51" i="151"/>
  <c r="N51" i="151"/>
  <c r="M51" i="151"/>
  <c r="L51" i="151"/>
  <c r="K51" i="151"/>
  <c r="J51" i="151"/>
  <c r="I51" i="151"/>
  <c r="H51" i="151"/>
  <c r="G51" i="151"/>
  <c r="F51" i="151"/>
  <c r="O50" i="151"/>
  <c r="N50" i="151"/>
  <c r="M50" i="151"/>
  <c r="L50" i="151"/>
  <c r="K50" i="151"/>
  <c r="J50" i="151"/>
  <c r="I50" i="151"/>
  <c r="H50" i="151"/>
  <c r="G50" i="151"/>
  <c r="F50" i="151"/>
  <c r="O46" i="151"/>
  <c r="N46" i="151"/>
  <c r="M46" i="151"/>
  <c r="L46" i="151"/>
  <c r="K46" i="151"/>
  <c r="J46" i="151"/>
  <c r="I46" i="151"/>
  <c r="H46" i="151"/>
  <c r="G46" i="151"/>
  <c r="F46" i="151"/>
  <c r="O42" i="151"/>
  <c r="N42" i="151"/>
  <c r="M42" i="151"/>
  <c r="L42" i="151"/>
  <c r="K42" i="151"/>
  <c r="J42" i="151"/>
  <c r="I42" i="151"/>
  <c r="H42" i="151"/>
  <c r="G42" i="151"/>
  <c r="F42" i="151"/>
  <c r="O38" i="151"/>
  <c r="N38" i="151"/>
  <c r="M38" i="151"/>
  <c r="L38" i="151"/>
  <c r="K38" i="151"/>
  <c r="J38" i="151"/>
  <c r="I38" i="151"/>
  <c r="H38" i="151"/>
  <c r="G38" i="151"/>
  <c r="F38" i="151"/>
  <c r="O97" i="150"/>
  <c r="O97" i="150" a="1"/>
  <c r="M97" i="150"/>
  <c r="M97" i="150" a="1"/>
  <c r="K97" i="150"/>
  <c r="K97" i="150" a="1"/>
  <c r="I97" i="150"/>
  <c r="I97" i="150" a="1"/>
  <c r="G97" i="150"/>
  <c r="G97" i="150" a="1"/>
  <c r="O96" i="150"/>
  <c r="N96" i="150"/>
  <c r="M96" i="150"/>
  <c r="L96" i="150"/>
  <c r="K96" i="150"/>
  <c r="J96" i="150"/>
  <c r="I96" i="150"/>
  <c r="H96" i="150"/>
  <c r="G96" i="150"/>
  <c r="F96" i="150"/>
  <c r="O95" i="150"/>
  <c r="N95" i="150"/>
  <c r="M95" i="150"/>
  <c r="L95" i="150"/>
  <c r="K95" i="150"/>
  <c r="J95" i="150"/>
  <c r="I95" i="150"/>
  <c r="H95" i="150"/>
  <c r="G95" i="150"/>
  <c r="F95" i="150"/>
  <c r="O94" i="150"/>
  <c r="N94" i="150"/>
  <c r="M94" i="150"/>
  <c r="L94" i="150"/>
  <c r="K94" i="150"/>
  <c r="J94" i="150"/>
  <c r="I94" i="150"/>
  <c r="H94" i="150"/>
  <c r="G94" i="150"/>
  <c r="F94" i="150"/>
  <c r="O93" i="150"/>
  <c r="N93" i="150"/>
  <c r="M93" i="150"/>
  <c r="L93" i="150"/>
  <c r="K93" i="150"/>
  <c r="J93" i="150"/>
  <c r="I93" i="150"/>
  <c r="H93" i="150"/>
  <c r="G93" i="150"/>
  <c r="F93" i="150"/>
  <c r="O92" i="150"/>
  <c r="N92" i="150"/>
  <c r="M92" i="150"/>
  <c r="L92" i="150"/>
  <c r="K92" i="150"/>
  <c r="J92" i="150"/>
  <c r="I92" i="150"/>
  <c r="H92" i="150"/>
  <c r="G92" i="150"/>
  <c r="F92" i="150"/>
  <c r="O91" i="150"/>
  <c r="N91" i="150"/>
  <c r="M91" i="150"/>
  <c r="L91" i="150"/>
  <c r="K91" i="150"/>
  <c r="J91" i="150"/>
  <c r="I91" i="150"/>
  <c r="H91" i="150"/>
  <c r="G91" i="150"/>
  <c r="F91" i="150"/>
  <c r="O90" i="150"/>
  <c r="N90" i="150"/>
  <c r="M90" i="150"/>
  <c r="L90" i="150"/>
  <c r="K90" i="150"/>
  <c r="J90" i="150"/>
  <c r="I90" i="150"/>
  <c r="H90" i="150"/>
  <c r="G90" i="150"/>
  <c r="F90" i="150"/>
  <c r="O89" i="150"/>
  <c r="N89" i="150"/>
  <c r="M89" i="150"/>
  <c r="L89" i="150"/>
  <c r="K89" i="150"/>
  <c r="J89" i="150"/>
  <c r="I89" i="150"/>
  <c r="H89" i="150"/>
  <c r="G89" i="150"/>
  <c r="F89" i="150"/>
  <c r="O88" i="150"/>
  <c r="N88" i="150"/>
  <c r="M88" i="150"/>
  <c r="L88" i="150"/>
  <c r="K88" i="150"/>
  <c r="J88" i="150"/>
  <c r="I88" i="150"/>
  <c r="H88" i="150"/>
  <c r="G88" i="150"/>
  <c r="F88" i="150"/>
  <c r="O87" i="150"/>
  <c r="N87" i="150"/>
  <c r="M87" i="150"/>
  <c r="L87" i="150"/>
  <c r="K87" i="150"/>
  <c r="J87" i="150"/>
  <c r="I87" i="150"/>
  <c r="H87" i="150"/>
  <c r="G87" i="150"/>
  <c r="F87" i="150"/>
  <c r="O86" i="150"/>
  <c r="N86" i="150"/>
  <c r="M86" i="150"/>
  <c r="L86" i="150"/>
  <c r="K86" i="150"/>
  <c r="J86" i="150"/>
  <c r="I86" i="150"/>
  <c r="H86" i="150"/>
  <c r="G86" i="150"/>
  <c r="F86" i="150"/>
  <c r="O85" i="150"/>
  <c r="N85" i="150"/>
  <c r="M85" i="150"/>
  <c r="L85" i="150"/>
  <c r="K85" i="150"/>
  <c r="J85" i="150"/>
  <c r="I85" i="150"/>
  <c r="H85" i="150"/>
  <c r="G85" i="150"/>
  <c r="F85" i="150"/>
  <c r="O84" i="150"/>
  <c r="N84" i="150"/>
  <c r="M84" i="150"/>
  <c r="L84" i="150"/>
  <c r="K84" i="150"/>
  <c r="J84" i="150"/>
  <c r="I84" i="150"/>
  <c r="H84" i="150"/>
  <c r="G84" i="150"/>
  <c r="F84" i="150"/>
  <c r="O83" i="150"/>
  <c r="N83" i="150"/>
  <c r="M83" i="150"/>
  <c r="L83" i="150"/>
  <c r="K83" i="150"/>
  <c r="J83" i="150"/>
  <c r="I83" i="150"/>
  <c r="H83" i="150"/>
  <c r="G83" i="150"/>
  <c r="F83" i="150"/>
  <c r="O82" i="150"/>
  <c r="N82" i="150"/>
  <c r="M82" i="150"/>
  <c r="L82" i="150"/>
  <c r="K82" i="150"/>
  <c r="J82" i="150"/>
  <c r="I82" i="150"/>
  <c r="H82" i="150"/>
  <c r="G82" i="150"/>
  <c r="F82" i="150"/>
  <c r="O81" i="150"/>
  <c r="N81" i="150"/>
  <c r="M81" i="150"/>
  <c r="L81" i="150"/>
  <c r="K81" i="150"/>
  <c r="J81" i="150"/>
  <c r="I81" i="150"/>
  <c r="H81" i="150"/>
  <c r="G81" i="150"/>
  <c r="F81" i="150"/>
  <c r="O80" i="150"/>
  <c r="N80" i="150"/>
  <c r="M80" i="150"/>
  <c r="L80" i="150"/>
  <c r="K80" i="150"/>
  <c r="J80" i="150"/>
  <c r="I80" i="150"/>
  <c r="H80" i="150"/>
  <c r="G80" i="150"/>
  <c r="F80" i="150"/>
  <c r="O79" i="150"/>
  <c r="N79" i="150"/>
  <c r="M79" i="150"/>
  <c r="L79" i="150"/>
  <c r="K79" i="150"/>
  <c r="J79" i="150"/>
  <c r="I79" i="150"/>
  <c r="H79" i="150"/>
  <c r="G79" i="150"/>
  <c r="F79" i="150"/>
  <c r="O78" i="150"/>
  <c r="N78" i="150"/>
  <c r="M78" i="150"/>
  <c r="L78" i="150"/>
  <c r="K78" i="150"/>
  <c r="J78" i="150"/>
  <c r="I78" i="150"/>
  <c r="H78" i="150"/>
  <c r="G78" i="150"/>
  <c r="F78" i="150"/>
  <c r="O77" i="150"/>
  <c r="N77" i="150"/>
  <c r="M77" i="150"/>
  <c r="L77" i="150"/>
  <c r="K77" i="150"/>
  <c r="J77" i="150"/>
  <c r="I77" i="150"/>
  <c r="H77" i="150"/>
  <c r="G77" i="150"/>
  <c r="F77" i="150"/>
  <c r="O76" i="150"/>
  <c r="N76" i="150"/>
  <c r="M76" i="150"/>
  <c r="L76" i="150"/>
  <c r="K76" i="150"/>
  <c r="J76" i="150"/>
  <c r="I76" i="150"/>
  <c r="H76" i="150"/>
  <c r="G76" i="150"/>
  <c r="F76" i="150"/>
  <c r="O75" i="150"/>
  <c r="N75" i="150"/>
  <c r="M75" i="150"/>
  <c r="L75" i="150"/>
  <c r="K75" i="150"/>
  <c r="J75" i="150"/>
  <c r="I75" i="150"/>
  <c r="H75" i="150"/>
  <c r="G75" i="150"/>
  <c r="F75" i="150"/>
  <c r="O74" i="150"/>
  <c r="N74" i="150"/>
  <c r="M74" i="150"/>
  <c r="L74" i="150"/>
  <c r="K74" i="150"/>
  <c r="J74" i="150"/>
  <c r="I74" i="150"/>
  <c r="H74" i="150"/>
  <c r="G74" i="150"/>
  <c r="F74" i="150"/>
  <c r="O73" i="150"/>
  <c r="N73" i="150"/>
  <c r="M73" i="150"/>
  <c r="L73" i="150"/>
  <c r="K73" i="150"/>
  <c r="J73" i="150"/>
  <c r="I73" i="150"/>
  <c r="H73" i="150"/>
  <c r="G73" i="150"/>
  <c r="F73" i="150"/>
  <c r="O72" i="150"/>
  <c r="N72" i="150"/>
  <c r="M72" i="150"/>
  <c r="L72" i="150"/>
  <c r="K72" i="150"/>
  <c r="J72" i="150"/>
  <c r="I72" i="150"/>
  <c r="H72" i="150"/>
  <c r="G72" i="150"/>
  <c r="F72" i="150"/>
  <c r="O71" i="150"/>
  <c r="N71" i="150"/>
  <c r="M71" i="150"/>
  <c r="L71" i="150"/>
  <c r="K71" i="150"/>
  <c r="J71" i="150"/>
  <c r="I71" i="150"/>
  <c r="H71" i="150"/>
  <c r="G71" i="150"/>
  <c r="F71" i="150"/>
  <c r="O70" i="150"/>
  <c r="N70" i="150"/>
  <c r="M70" i="150"/>
  <c r="L70" i="150"/>
  <c r="K70" i="150"/>
  <c r="J70" i="150"/>
  <c r="I70" i="150"/>
  <c r="H70" i="150"/>
  <c r="G70" i="150"/>
  <c r="F70" i="150"/>
  <c r="O69" i="150"/>
  <c r="N69" i="150"/>
  <c r="M69" i="150"/>
  <c r="L69" i="150"/>
  <c r="K69" i="150"/>
  <c r="J69" i="150"/>
  <c r="I69" i="150"/>
  <c r="H69" i="150"/>
  <c r="G69" i="150"/>
  <c r="F69" i="150"/>
  <c r="O68" i="150"/>
  <c r="N68" i="150"/>
  <c r="M68" i="150"/>
  <c r="L68" i="150"/>
  <c r="K68" i="150"/>
  <c r="J68" i="150"/>
  <c r="I68" i="150"/>
  <c r="H68" i="150"/>
  <c r="G68" i="150"/>
  <c r="F68" i="150"/>
  <c r="O67" i="150"/>
  <c r="N67" i="150"/>
  <c r="M67" i="150"/>
  <c r="L67" i="150"/>
  <c r="K67" i="150"/>
  <c r="J67" i="150"/>
  <c r="I67" i="150"/>
  <c r="H67" i="150"/>
  <c r="G67" i="150"/>
  <c r="F67" i="150"/>
  <c r="O66" i="150"/>
  <c r="N66" i="150"/>
  <c r="M66" i="150"/>
  <c r="L66" i="150"/>
  <c r="K66" i="150"/>
  <c r="J66" i="150"/>
  <c r="I66" i="150"/>
  <c r="H66" i="150"/>
  <c r="G66" i="150"/>
  <c r="F66" i="150"/>
  <c r="O65" i="150"/>
  <c r="N65" i="150"/>
  <c r="M65" i="150"/>
  <c r="L65" i="150"/>
  <c r="K65" i="150"/>
  <c r="J65" i="150"/>
  <c r="I65" i="150"/>
  <c r="H65" i="150"/>
  <c r="G65" i="150"/>
  <c r="F65" i="150"/>
  <c r="O64" i="150"/>
  <c r="N64" i="150"/>
  <c r="M64" i="150"/>
  <c r="L64" i="150"/>
  <c r="K64" i="150"/>
  <c r="J64" i="150"/>
  <c r="I64" i="150"/>
  <c r="H64" i="150"/>
  <c r="G64" i="150"/>
  <c r="F64" i="150"/>
  <c r="O63" i="150"/>
  <c r="N63" i="150"/>
  <c r="M63" i="150"/>
  <c r="L63" i="150"/>
  <c r="K63" i="150"/>
  <c r="J63" i="150"/>
  <c r="I63" i="150"/>
  <c r="H63" i="150"/>
  <c r="G63" i="150"/>
  <c r="F63" i="150"/>
  <c r="O62" i="150"/>
  <c r="N62" i="150"/>
  <c r="M62" i="150"/>
  <c r="L62" i="150"/>
  <c r="K62" i="150"/>
  <c r="J62" i="150"/>
  <c r="I62" i="150"/>
  <c r="H62" i="150"/>
  <c r="G62" i="150"/>
  <c r="F62" i="150"/>
  <c r="O61" i="150"/>
  <c r="N61" i="150"/>
  <c r="M61" i="150"/>
  <c r="L61" i="150"/>
  <c r="K61" i="150"/>
  <c r="J61" i="150"/>
  <c r="I61" i="150"/>
  <c r="H61" i="150"/>
  <c r="G61" i="150"/>
  <c r="F61" i="150"/>
  <c r="O60" i="150"/>
  <c r="N60" i="150"/>
  <c r="M60" i="150"/>
  <c r="L60" i="150"/>
  <c r="K60" i="150"/>
  <c r="J60" i="150"/>
  <c r="I60" i="150"/>
  <c r="H60" i="150"/>
  <c r="G60" i="150"/>
  <c r="F60" i="150"/>
  <c r="O59" i="150"/>
  <c r="N59" i="150"/>
  <c r="M59" i="150"/>
  <c r="L59" i="150"/>
  <c r="K59" i="150"/>
  <c r="J59" i="150"/>
  <c r="I59" i="150"/>
  <c r="H59" i="150"/>
  <c r="G59" i="150"/>
  <c r="F59" i="150"/>
  <c r="O58" i="150"/>
  <c r="N58" i="150"/>
  <c r="M58" i="150"/>
  <c r="L58" i="150"/>
  <c r="K58" i="150"/>
  <c r="J58" i="150"/>
  <c r="I58" i="150"/>
  <c r="H58" i="150"/>
  <c r="G58" i="150"/>
  <c r="F58" i="150"/>
  <c r="O57" i="150"/>
  <c r="N57" i="150"/>
  <c r="M57" i="150"/>
  <c r="L57" i="150"/>
  <c r="K57" i="150"/>
  <c r="J57" i="150"/>
  <c r="I57" i="150"/>
  <c r="H57" i="150"/>
  <c r="G57" i="150"/>
  <c r="F57" i="150"/>
  <c r="O56" i="150"/>
  <c r="N56" i="150"/>
  <c r="M56" i="150"/>
  <c r="L56" i="150"/>
  <c r="K56" i="150"/>
  <c r="J56" i="150"/>
  <c r="I56" i="150"/>
  <c r="H56" i="150"/>
  <c r="G56" i="150"/>
  <c r="F56" i="150"/>
  <c r="O55" i="150"/>
  <c r="N55" i="150"/>
  <c r="M55" i="150"/>
  <c r="L55" i="150"/>
  <c r="K55" i="150"/>
  <c r="J55" i="150"/>
  <c r="I55" i="150"/>
  <c r="H55" i="150"/>
  <c r="G55" i="150"/>
  <c r="F55" i="150"/>
  <c r="O54" i="150"/>
  <c r="N54" i="150"/>
  <c r="M54" i="150"/>
  <c r="L54" i="150"/>
  <c r="K54" i="150"/>
  <c r="J54" i="150"/>
  <c r="I54" i="150"/>
  <c r="H54" i="150"/>
  <c r="G54" i="150"/>
  <c r="F54" i="150"/>
  <c r="O53" i="150"/>
  <c r="N53" i="150"/>
  <c r="M53" i="150"/>
  <c r="L53" i="150"/>
  <c r="K53" i="150"/>
  <c r="J53" i="150"/>
  <c r="I53" i="150"/>
  <c r="H53" i="150"/>
  <c r="G53" i="150"/>
  <c r="F53" i="150"/>
  <c r="O52" i="150"/>
  <c r="N52" i="150"/>
  <c r="M52" i="150"/>
  <c r="L52" i="150"/>
  <c r="K52" i="150"/>
  <c r="J52" i="150"/>
  <c r="I52" i="150"/>
  <c r="H52" i="150"/>
  <c r="G52" i="150"/>
  <c r="F52" i="150"/>
  <c r="O48" i="150"/>
  <c r="N48" i="150"/>
  <c r="M48" i="150"/>
  <c r="L48" i="150"/>
  <c r="K48" i="150"/>
  <c r="J48" i="150"/>
  <c r="I48" i="150"/>
  <c r="H48" i="150"/>
  <c r="G48" i="150"/>
  <c r="F48" i="150"/>
  <c r="O44" i="150"/>
  <c r="N44" i="150"/>
  <c r="M44" i="150"/>
  <c r="L44" i="150"/>
  <c r="K44" i="150"/>
  <c r="J44" i="150"/>
  <c r="I44" i="150"/>
  <c r="H44" i="150"/>
  <c r="G44" i="150"/>
  <c r="F44" i="150"/>
  <c r="O40" i="150"/>
  <c r="N40" i="150"/>
  <c r="M40" i="150"/>
  <c r="L40" i="150"/>
  <c r="K40" i="150"/>
  <c r="J40" i="150"/>
  <c r="I40" i="150"/>
  <c r="H40" i="150"/>
  <c r="G40" i="150"/>
  <c r="F40" i="150"/>
  <c r="O93" i="128"/>
  <c r="O93" i="128" a="1"/>
  <c r="M93" i="128"/>
  <c r="M93" i="128" a="1"/>
  <c r="K93" i="128"/>
  <c r="K93" i="128" a="1"/>
  <c r="I93" i="128"/>
  <c r="I93" i="128" a="1"/>
  <c r="G93" i="128"/>
  <c r="G93" i="128" a="1"/>
  <c r="O92" i="128"/>
  <c r="N92" i="128"/>
  <c r="M92" i="128"/>
  <c r="L92" i="128"/>
  <c r="K92" i="128"/>
  <c r="J92" i="128"/>
  <c r="I92" i="128"/>
  <c r="H92" i="128"/>
  <c r="G92" i="128"/>
  <c r="F92" i="128"/>
  <c r="O91" i="128"/>
  <c r="N91" i="128"/>
  <c r="M91" i="128"/>
  <c r="L91" i="128"/>
  <c r="K91" i="128"/>
  <c r="J91" i="128"/>
  <c r="I91" i="128"/>
  <c r="H91" i="128"/>
  <c r="G91" i="128"/>
  <c r="F91" i="128"/>
  <c r="O90" i="128"/>
  <c r="N90" i="128"/>
  <c r="M90" i="128"/>
  <c r="L90" i="128"/>
  <c r="K90" i="128"/>
  <c r="J90" i="128"/>
  <c r="I90" i="128"/>
  <c r="H90" i="128"/>
  <c r="G90" i="128"/>
  <c r="F90" i="128"/>
  <c r="O89" i="128"/>
  <c r="N89" i="128"/>
  <c r="M89" i="128"/>
  <c r="L89" i="128"/>
  <c r="K89" i="128"/>
  <c r="J89" i="128"/>
  <c r="I89" i="128"/>
  <c r="H89" i="128"/>
  <c r="G89" i="128"/>
  <c r="F89" i="128"/>
  <c r="O88" i="128"/>
  <c r="N88" i="128"/>
  <c r="M88" i="128"/>
  <c r="L88" i="128"/>
  <c r="K88" i="128"/>
  <c r="J88" i="128"/>
  <c r="I88" i="128"/>
  <c r="H88" i="128"/>
  <c r="G88" i="128"/>
  <c r="F88" i="128"/>
  <c r="O87" i="128"/>
  <c r="N87" i="128"/>
  <c r="M87" i="128"/>
  <c r="L87" i="128"/>
  <c r="K87" i="128"/>
  <c r="J87" i="128"/>
  <c r="I87" i="128"/>
  <c r="H87" i="128"/>
  <c r="G87" i="128"/>
  <c r="F87" i="128"/>
  <c r="O86" i="128"/>
  <c r="N86" i="128"/>
  <c r="M86" i="128"/>
  <c r="L86" i="128"/>
  <c r="K86" i="128"/>
  <c r="J86" i="128"/>
  <c r="I86" i="128"/>
  <c r="H86" i="128"/>
  <c r="G86" i="128"/>
  <c r="F86" i="128"/>
  <c r="O85" i="128"/>
  <c r="N85" i="128"/>
  <c r="M85" i="128"/>
  <c r="L85" i="128"/>
  <c r="K85" i="128"/>
  <c r="J85" i="128"/>
  <c r="I85" i="128"/>
  <c r="H85" i="128"/>
  <c r="G85" i="128"/>
  <c r="F85" i="128"/>
  <c r="O84" i="128"/>
  <c r="N84" i="128"/>
  <c r="M84" i="128"/>
  <c r="L84" i="128"/>
  <c r="K84" i="128"/>
  <c r="J84" i="128"/>
  <c r="I84" i="128"/>
  <c r="H84" i="128"/>
  <c r="G84" i="128"/>
  <c r="F84" i="128"/>
  <c r="O83" i="128"/>
  <c r="N83" i="128"/>
  <c r="M83" i="128"/>
  <c r="L83" i="128"/>
  <c r="K83" i="128"/>
  <c r="J83" i="128"/>
  <c r="I83" i="128"/>
  <c r="H83" i="128"/>
  <c r="G83" i="128"/>
  <c r="F83" i="128"/>
  <c r="O82" i="128"/>
  <c r="N82" i="128"/>
  <c r="M82" i="128"/>
  <c r="L82" i="128"/>
  <c r="K82" i="128"/>
  <c r="J82" i="128"/>
  <c r="I82" i="128"/>
  <c r="H82" i="128"/>
  <c r="G82" i="128"/>
  <c r="F82" i="128"/>
  <c r="O81" i="128"/>
  <c r="N81" i="128"/>
  <c r="M81" i="128"/>
  <c r="L81" i="128"/>
  <c r="K81" i="128"/>
  <c r="J81" i="128"/>
  <c r="I81" i="128"/>
  <c r="H81" i="128"/>
  <c r="G81" i="128"/>
  <c r="F81" i="128"/>
  <c r="O80" i="128"/>
  <c r="N80" i="128"/>
  <c r="M80" i="128"/>
  <c r="L80" i="128"/>
  <c r="K80" i="128"/>
  <c r="J80" i="128"/>
  <c r="I80" i="128"/>
  <c r="H80" i="128"/>
  <c r="G80" i="128"/>
  <c r="F80" i="128"/>
  <c r="O79" i="128"/>
  <c r="N79" i="128"/>
  <c r="M79" i="128"/>
  <c r="L79" i="128"/>
  <c r="K79" i="128"/>
  <c r="J79" i="128"/>
  <c r="I79" i="128"/>
  <c r="H79" i="128"/>
  <c r="G79" i="128"/>
  <c r="F79" i="128"/>
  <c r="O78" i="128"/>
  <c r="N78" i="128"/>
  <c r="M78" i="128"/>
  <c r="L78" i="128"/>
  <c r="K78" i="128"/>
  <c r="J78" i="128"/>
  <c r="I78" i="128"/>
  <c r="H78" i="128"/>
  <c r="G78" i="128"/>
  <c r="F78" i="128"/>
  <c r="O77" i="128"/>
  <c r="N77" i="128"/>
  <c r="M77" i="128"/>
  <c r="L77" i="128"/>
  <c r="K77" i="128"/>
  <c r="J77" i="128"/>
  <c r="I77" i="128"/>
  <c r="H77" i="128"/>
  <c r="G77" i="128"/>
  <c r="F77" i="128"/>
  <c r="O76" i="128"/>
  <c r="N76" i="128"/>
  <c r="M76" i="128"/>
  <c r="L76" i="128"/>
  <c r="K76" i="128"/>
  <c r="J76" i="128"/>
  <c r="I76" i="128"/>
  <c r="H76" i="128"/>
  <c r="G76" i="128"/>
  <c r="F76" i="128"/>
  <c r="O75" i="128"/>
  <c r="N75" i="128"/>
  <c r="M75" i="128"/>
  <c r="L75" i="128"/>
  <c r="K75" i="128"/>
  <c r="J75" i="128"/>
  <c r="I75" i="128"/>
  <c r="H75" i="128"/>
  <c r="G75" i="128"/>
  <c r="F75" i="128"/>
  <c r="O74" i="128"/>
  <c r="N74" i="128"/>
  <c r="M74" i="128"/>
  <c r="L74" i="128"/>
  <c r="K74" i="128"/>
  <c r="J74" i="128"/>
  <c r="I74" i="128"/>
  <c r="H74" i="128"/>
  <c r="G74" i="128"/>
  <c r="F74" i="128"/>
  <c r="O73" i="128"/>
  <c r="N73" i="128"/>
  <c r="M73" i="128"/>
  <c r="L73" i="128"/>
  <c r="K73" i="128"/>
  <c r="J73" i="128"/>
  <c r="I73" i="128"/>
  <c r="H73" i="128"/>
  <c r="G73" i="128"/>
  <c r="F73" i="128"/>
  <c r="O72" i="128"/>
  <c r="N72" i="128"/>
  <c r="M72" i="128"/>
  <c r="L72" i="128"/>
  <c r="K72" i="128"/>
  <c r="J72" i="128"/>
  <c r="I72" i="128"/>
  <c r="H72" i="128"/>
  <c r="G72" i="128"/>
  <c r="F72" i="128"/>
  <c r="O71" i="128"/>
  <c r="N71" i="128"/>
  <c r="M71" i="128"/>
  <c r="L71" i="128"/>
  <c r="K71" i="128"/>
  <c r="J71" i="128"/>
  <c r="I71" i="128"/>
  <c r="H71" i="128"/>
  <c r="G71" i="128"/>
  <c r="F71" i="128"/>
  <c r="O70" i="128"/>
  <c r="N70" i="128"/>
  <c r="M70" i="128"/>
  <c r="L70" i="128"/>
  <c r="K70" i="128"/>
  <c r="J70" i="128"/>
  <c r="I70" i="128"/>
  <c r="H70" i="128"/>
  <c r="G70" i="128"/>
  <c r="F70" i="128"/>
  <c r="O69" i="128"/>
  <c r="N69" i="128"/>
  <c r="M69" i="128"/>
  <c r="L69" i="128"/>
  <c r="K69" i="128"/>
  <c r="J69" i="128"/>
  <c r="I69" i="128"/>
  <c r="H69" i="128"/>
  <c r="G69" i="128"/>
  <c r="F69" i="128"/>
  <c r="O68" i="128"/>
  <c r="N68" i="128"/>
  <c r="M68" i="128"/>
  <c r="L68" i="128"/>
  <c r="K68" i="128"/>
  <c r="J68" i="128"/>
  <c r="I68" i="128"/>
  <c r="H68" i="128"/>
  <c r="G68" i="128"/>
  <c r="F68" i="128"/>
  <c r="O67" i="128"/>
  <c r="N67" i="128"/>
  <c r="M67" i="128"/>
  <c r="L67" i="128"/>
  <c r="K67" i="128"/>
  <c r="J67" i="128"/>
  <c r="I67" i="128"/>
  <c r="H67" i="128"/>
  <c r="G67" i="128"/>
  <c r="F67" i="128"/>
  <c r="O66" i="128"/>
  <c r="N66" i="128"/>
  <c r="M66" i="128"/>
  <c r="L66" i="128"/>
  <c r="K66" i="128"/>
  <c r="J66" i="128"/>
  <c r="I66" i="128"/>
  <c r="H66" i="128"/>
  <c r="G66" i="128"/>
  <c r="F66" i="128"/>
  <c r="O65" i="128"/>
  <c r="N65" i="128"/>
  <c r="M65" i="128"/>
  <c r="L65" i="128"/>
  <c r="K65" i="128"/>
  <c r="J65" i="128"/>
  <c r="I65" i="128"/>
  <c r="H65" i="128"/>
  <c r="G65" i="128"/>
  <c r="F65" i="128"/>
  <c r="O64" i="128"/>
  <c r="N64" i="128"/>
  <c r="M64" i="128"/>
  <c r="L64" i="128"/>
  <c r="K64" i="128"/>
  <c r="J64" i="128"/>
  <c r="I64" i="128"/>
  <c r="H64" i="128"/>
  <c r="G64" i="128"/>
  <c r="F64" i="128"/>
  <c r="O63" i="128"/>
  <c r="N63" i="128"/>
  <c r="M63" i="128"/>
  <c r="L63" i="128"/>
  <c r="K63" i="128"/>
  <c r="J63" i="128"/>
  <c r="I63" i="128"/>
  <c r="H63" i="128"/>
  <c r="G63" i="128"/>
  <c r="F63" i="128"/>
  <c r="O62" i="128"/>
  <c r="N62" i="128"/>
  <c r="M62" i="128"/>
  <c r="L62" i="128"/>
  <c r="K62" i="128"/>
  <c r="J62" i="128"/>
  <c r="I62" i="128"/>
  <c r="H62" i="128"/>
  <c r="G62" i="128"/>
  <c r="F62" i="128"/>
  <c r="O61" i="128"/>
  <c r="N61" i="128"/>
  <c r="M61" i="128"/>
  <c r="L61" i="128"/>
  <c r="K61" i="128"/>
  <c r="J61" i="128"/>
  <c r="I61" i="128"/>
  <c r="H61" i="128"/>
  <c r="G61" i="128"/>
  <c r="F61" i="128"/>
  <c r="O60" i="128"/>
  <c r="N60" i="128"/>
  <c r="M60" i="128"/>
  <c r="L60" i="128"/>
  <c r="K60" i="128"/>
  <c r="J60" i="128"/>
  <c r="I60" i="128"/>
  <c r="H60" i="128"/>
  <c r="G60" i="128"/>
  <c r="F60" i="128"/>
  <c r="O59" i="128"/>
  <c r="N59" i="128"/>
  <c r="M59" i="128"/>
  <c r="L59" i="128"/>
  <c r="K59" i="128"/>
  <c r="J59" i="128"/>
  <c r="I59" i="128"/>
  <c r="H59" i="128"/>
  <c r="G59" i="128"/>
  <c r="F59" i="128"/>
  <c r="O58" i="128"/>
  <c r="N58" i="128"/>
  <c r="M58" i="128"/>
  <c r="L58" i="128"/>
  <c r="K58" i="128"/>
  <c r="J58" i="128"/>
  <c r="I58" i="128"/>
  <c r="H58" i="128"/>
  <c r="G58" i="128"/>
  <c r="F58" i="128"/>
  <c r="O57" i="128"/>
  <c r="N57" i="128"/>
  <c r="M57" i="128"/>
  <c r="L57" i="128"/>
  <c r="K57" i="128"/>
  <c r="J57" i="128"/>
  <c r="I57" i="128"/>
  <c r="H57" i="128"/>
  <c r="G57" i="128"/>
  <c r="F57" i="128"/>
  <c r="O56" i="128"/>
  <c r="N56" i="128"/>
  <c r="M56" i="128"/>
  <c r="L56" i="128"/>
  <c r="K56" i="128"/>
  <c r="J56" i="128"/>
  <c r="I56" i="128"/>
  <c r="H56" i="128"/>
  <c r="G56" i="128"/>
  <c r="F56" i="128"/>
  <c r="O55" i="128"/>
  <c r="N55" i="128"/>
  <c r="M55" i="128"/>
  <c r="L55" i="128"/>
  <c r="K55" i="128"/>
  <c r="J55" i="128"/>
  <c r="I55" i="128"/>
  <c r="H55" i="128"/>
  <c r="G55" i="128"/>
  <c r="F55" i="128"/>
  <c r="O50" i="128"/>
  <c r="N50" i="128"/>
  <c r="M50" i="128"/>
  <c r="L50" i="128"/>
  <c r="K50" i="128"/>
  <c r="J50" i="128"/>
  <c r="I50" i="128"/>
  <c r="H50" i="128"/>
  <c r="G50" i="128"/>
  <c r="F50" i="128"/>
  <c r="O45" i="128"/>
  <c r="N45" i="128"/>
  <c r="M45" i="128"/>
  <c r="L45" i="128"/>
  <c r="K45" i="128"/>
  <c r="J45" i="128"/>
  <c r="I45" i="128"/>
  <c r="H45" i="128"/>
  <c r="G45" i="128"/>
  <c r="F45" i="128"/>
  <c r="O40" i="128"/>
  <c r="N40" i="128"/>
  <c r="M40" i="128"/>
  <c r="L40" i="128"/>
  <c r="K40" i="128"/>
  <c r="J40" i="128"/>
  <c r="I40" i="128"/>
  <c r="H40" i="128"/>
  <c r="G40" i="128"/>
  <c r="F40" i="128"/>
  <c r="O72" i="149"/>
  <c r="O72" i="149" a="1"/>
  <c r="M72" i="149"/>
  <c r="M72" i="149" a="1"/>
  <c r="K72" i="149"/>
  <c r="K72" i="149" a="1"/>
  <c r="I72" i="149"/>
  <c r="I72" i="149" a="1"/>
  <c r="G72" i="149"/>
  <c r="G72" i="149" a="1"/>
  <c r="O71" i="149"/>
  <c r="N71" i="149"/>
  <c r="M71" i="149"/>
  <c r="L71" i="149"/>
  <c r="K71" i="149"/>
  <c r="J71" i="149"/>
  <c r="I71" i="149"/>
  <c r="H71" i="149"/>
  <c r="G71" i="149"/>
  <c r="F71" i="149"/>
  <c r="O70" i="149"/>
  <c r="N70" i="149"/>
  <c r="M70" i="149"/>
  <c r="L70" i="149"/>
  <c r="K70" i="149"/>
  <c r="J70" i="149"/>
  <c r="I70" i="149"/>
  <c r="H70" i="149"/>
  <c r="G70" i="149"/>
  <c r="F70" i="149"/>
  <c r="O69" i="149"/>
  <c r="N69" i="149"/>
  <c r="M69" i="149"/>
  <c r="L69" i="149"/>
  <c r="K69" i="149"/>
  <c r="J69" i="149"/>
  <c r="I69" i="149"/>
  <c r="H69" i="149"/>
  <c r="G69" i="149"/>
  <c r="F69" i="149"/>
  <c r="O68" i="149"/>
  <c r="N68" i="149"/>
  <c r="M68" i="149"/>
  <c r="L68" i="149"/>
  <c r="K68" i="149"/>
  <c r="J68" i="149"/>
  <c r="I68" i="149"/>
  <c r="H68" i="149"/>
  <c r="G68" i="149"/>
  <c r="F68" i="149"/>
  <c r="O67" i="149"/>
  <c r="N67" i="149"/>
  <c r="M67" i="149"/>
  <c r="L67" i="149"/>
  <c r="K67" i="149"/>
  <c r="J67" i="149"/>
  <c r="I67" i="149"/>
  <c r="H67" i="149"/>
  <c r="G67" i="149"/>
  <c r="F67" i="149"/>
  <c r="O66" i="149"/>
  <c r="N66" i="149"/>
  <c r="M66" i="149"/>
  <c r="L66" i="149"/>
  <c r="K66" i="149"/>
  <c r="J66" i="149"/>
  <c r="I66" i="149"/>
  <c r="H66" i="149"/>
  <c r="G66" i="149"/>
  <c r="F66" i="149"/>
  <c r="O65" i="149"/>
  <c r="N65" i="149"/>
  <c r="M65" i="149"/>
  <c r="L65" i="149"/>
  <c r="K65" i="149"/>
  <c r="J65" i="149"/>
  <c r="I65" i="149"/>
  <c r="H65" i="149"/>
  <c r="G65" i="149"/>
  <c r="F65" i="149"/>
  <c r="O64" i="149"/>
  <c r="N64" i="149"/>
  <c r="M64" i="149"/>
  <c r="L64" i="149"/>
  <c r="K64" i="149"/>
  <c r="J64" i="149"/>
  <c r="I64" i="149"/>
  <c r="H64" i="149"/>
  <c r="G64" i="149"/>
  <c r="F64" i="149"/>
  <c r="O63" i="149"/>
  <c r="N63" i="149"/>
  <c r="M63" i="149"/>
  <c r="L63" i="149"/>
  <c r="K63" i="149"/>
  <c r="J63" i="149"/>
  <c r="I63" i="149"/>
  <c r="H63" i="149"/>
  <c r="G63" i="149"/>
  <c r="F63" i="149"/>
  <c r="O62" i="149"/>
  <c r="N62" i="149"/>
  <c r="M62" i="149"/>
  <c r="L62" i="149"/>
  <c r="K62" i="149"/>
  <c r="J62" i="149"/>
  <c r="I62" i="149"/>
  <c r="H62" i="149"/>
  <c r="G62" i="149"/>
  <c r="F62" i="149"/>
  <c r="O61" i="149"/>
  <c r="N61" i="149"/>
  <c r="M61" i="149"/>
  <c r="L61" i="149"/>
  <c r="K61" i="149"/>
  <c r="J61" i="149"/>
  <c r="I61" i="149"/>
  <c r="H61" i="149"/>
  <c r="G61" i="149"/>
  <c r="F61" i="149"/>
  <c r="O60" i="149"/>
  <c r="N60" i="149"/>
  <c r="M60" i="149"/>
  <c r="L60" i="149"/>
  <c r="K60" i="149"/>
  <c r="J60" i="149"/>
  <c r="I60" i="149"/>
  <c r="H60" i="149"/>
  <c r="G60" i="149"/>
  <c r="F60" i="149"/>
  <c r="O59" i="149"/>
  <c r="N59" i="149"/>
  <c r="M59" i="149"/>
  <c r="L59" i="149"/>
  <c r="K59" i="149"/>
  <c r="J59" i="149"/>
  <c r="I59" i="149"/>
  <c r="H59" i="149"/>
  <c r="G59" i="149"/>
  <c r="F59" i="149"/>
  <c r="O58" i="149"/>
  <c r="N58" i="149"/>
  <c r="M58" i="149"/>
  <c r="L58" i="149"/>
  <c r="K58" i="149"/>
  <c r="J58" i="149"/>
  <c r="I58" i="149"/>
  <c r="H58" i="149"/>
  <c r="G58" i="149"/>
  <c r="F58" i="149"/>
  <c r="O57" i="149"/>
  <c r="N57" i="149"/>
  <c r="M57" i="149"/>
  <c r="L57" i="149"/>
  <c r="K57" i="149"/>
  <c r="J57" i="149"/>
  <c r="I57" i="149"/>
  <c r="H57" i="149"/>
  <c r="G57" i="149"/>
  <c r="F57" i="149"/>
  <c r="O56" i="149"/>
  <c r="N56" i="149"/>
  <c r="M56" i="149"/>
  <c r="L56" i="149"/>
  <c r="K56" i="149"/>
  <c r="J56" i="149"/>
  <c r="I56" i="149"/>
  <c r="H56" i="149"/>
  <c r="G56" i="149"/>
  <c r="F56" i="149"/>
  <c r="O55" i="149"/>
  <c r="N55" i="149"/>
  <c r="M55" i="149"/>
  <c r="L55" i="149"/>
  <c r="K55" i="149"/>
  <c r="J55" i="149"/>
  <c r="I55" i="149"/>
  <c r="H55" i="149"/>
  <c r="G55" i="149"/>
  <c r="F55" i="149"/>
  <c r="O54" i="149"/>
  <c r="N54" i="149"/>
  <c r="M54" i="149"/>
  <c r="L54" i="149"/>
  <c r="K54" i="149"/>
  <c r="J54" i="149"/>
  <c r="I54" i="149"/>
  <c r="H54" i="149"/>
  <c r="G54" i="149"/>
  <c r="F54" i="149"/>
  <c r="O53" i="149"/>
  <c r="N53" i="149"/>
  <c r="M53" i="149"/>
  <c r="L53" i="149"/>
  <c r="K53" i="149"/>
  <c r="J53" i="149"/>
  <c r="I53" i="149"/>
  <c r="H53" i="149"/>
  <c r="G53" i="149"/>
  <c r="F53" i="149"/>
  <c r="O52" i="149"/>
  <c r="N52" i="149"/>
  <c r="M52" i="149"/>
  <c r="L52" i="149"/>
  <c r="K52" i="149"/>
  <c r="J52" i="149"/>
  <c r="I52" i="149"/>
  <c r="H52" i="149"/>
  <c r="G52" i="149"/>
  <c r="F52" i="149"/>
  <c r="O51" i="149"/>
  <c r="N51" i="149"/>
  <c r="M51" i="149"/>
  <c r="L51" i="149"/>
  <c r="K51" i="149"/>
  <c r="J51" i="149"/>
  <c r="I51" i="149"/>
  <c r="H51" i="149"/>
  <c r="G51" i="149"/>
  <c r="F51" i="149"/>
  <c r="O50" i="149"/>
  <c r="N50" i="149"/>
  <c r="M50" i="149"/>
  <c r="L50" i="149"/>
  <c r="K50" i="149"/>
  <c r="J50" i="149"/>
  <c r="I50" i="149"/>
  <c r="H50" i="149"/>
  <c r="G50" i="149"/>
  <c r="F50" i="149"/>
  <c r="O49" i="149"/>
  <c r="N49" i="149"/>
  <c r="M49" i="149"/>
  <c r="L49" i="149"/>
  <c r="K49" i="149"/>
  <c r="J49" i="149"/>
  <c r="I49" i="149"/>
  <c r="H49" i="149"/>
  <c r="G49" i="149"/>
  <c r="F49" i="149"/>
  <c r="O48" i="149"/>
  <c r="N48" i="149"/>
  <c r="M48" i="149"/>
  <c r="L48" i="149"/>
  <c r="K48" i="149"/>
  <c r="J48" i="149"/>
  <c r="I48" i="149"/>
  <c r="H48" i="149"/>
  <c r="G48" i="149"/>
  <c r="F48" i="149"/>
  <c r="O47" i="149"/>
  <c r="N47" i="149"/>
  <c r="M47" i="149"/>
  <c r="L47" i="149"/>
  <c r="K47" i="149"/>
  <c r="J47" i="149"/>
  <c r="I47" i="149"/>
  <c r="H47" i="149"/>
  <c r="G47" i="149"/>
  <c r="F47" i="149"/>
  <c r="O43" i="149"/>
  <c r="N43" i="149"/>
  <c r="M43" i="149"/>
  <c r="L43" i="149"/>
  <c r="K43" i="149"/>
  <c r="J43" i="149"/>
  <c r="I43" i="149"/>
  <c r="H43" i="149"/>
  <c r="G43" i="149"/>
  <c r="F43" i="149"/>
  <c r="O39" i="149"/>
  <c r="N39" i="149"/>
  <c r="M39" i="149"/>
  <c r="L39" i="149"/>
  <c r="K39" i="149"/>
  <c r="J39" i="149"/>
  <c r="I39" i="149"/>
  <c r="H39" i="149"/>
  <c r="G39" i="149"/>
  <c r="F39" i="149"/>
  <c r="O73" i="148"/>
  <c r="O73" i="148" a="1"/>
  <c r="M73" i="148"/>
  <c r="M73" i="148" a="1"/>
  <c r="K73" i="148"/>
  <c r="K73" i="148" a="1"/>
  <c r="I73" i="148"/>
  <c r="I73" i="148" a="1"/>
  <c r="G73" i="148"/>
  <c r="G73" i="148" a="1"/>
  <c r="O72" i="148"/>
  <c r="N72" i="148"/>
  <c r="M72" i="148"/>
  <c r="L72" i="148"/>
  <c r="K72" i="148"/>
  <c r="J72" i="148"/>
  <c r="I72" i="148"/>
  <c r="H72" i="148"/>
  <c r="G72" i="148"/>
  <c r="F72" i="148"/>
  <c r="O71" i="148"/>
  <c r="N71" i="148"/>
  <c r="M71" i="148"/>
  <c r="L71" i="148"/>
  <c r="K71" i="148"/>
  <c r="J71" i="148"/>
  <c r="I71" i="148"/>
  <c r="H71" i="148"/>
  <c r="G71" i="148"/>
  <c r="F71" i="148"/>
  <c r="O70" i="148"/>
  <c r="N70" i="148"/>
  <c r="M70" i="148"/>
  <c r="L70" i="148"/>
  <c r="K70" i="148"/>
  <c r="J70" i="148"/>
  <c r="I70" i="148"/>
  <c r="H70" i="148"/>
  <c r="G70" i="148"/>
  <c r="F70" i="148"/>
  <c r="O69" i="148"/>
  <c r="N69" i="148"/>
  <c r="M69" i="148"/>
  <c r="L69" i="148"/>
  <c r="K69" i="148"/>
  <c r="J69" i="148"/>
  <c r="I69" i="148"/>
  <c r="H69" i="148"/>
  <c r="G69" i="148"/>
  <c r="F69" i="148"/>
  <c r="O68" i="148"/>
  <c r="N68" i="148"/>
  <c r="M68" i="148"/>
  <c r="L68" i="148"/>
  <c r="K68" i="148"/>
  <c r="J68" i="148"/>
  <c r="I68" i="148"/>
  <c r="H68" i="148"/>
  <c r="G68" i="148"/>
  <c r="F68" i="148"/>
  <c r="O67" i="148"/>
  <c r="N67" i="148"/>
  <c r="M67" i="148"/>
  <c r="L67" i="148"/>
  <c r="K67" i="148"/>
  <c r="J67" i="148"/>
  <c r="I67" i="148"/>
  <c r="H67" i="148"/>
  <c r="G67" i="148"/>
  <c r="F67" i="148"/>
  <c r="O66" i="148"/>
  <c r="N66" i="148"/>
  <c r="M66" i="148"/>
  <c r="L66" i="148"/>
  <c r="K66" i="148"/>
  <c r="J66" i="148"/>
  <c r="I66" i="148"/>
  <c r="H66" i="148"/>
  <c r="G66" i="148"/>
  <c r="F66" i="148"/>
  <c r="O65" i="148"/>
  <c r="N65" i="148"/>
  <c r="M65" i="148"/>
  <c r="L65" i="148"/>
  <c r="K65" i="148"/>
  <c r="J65" i="148"/>
  <c r="I65" i="148"/>
  <c r="H65" i="148"/>
  <c r="G65" i="148"/>
  <c r="F65" i="148"/>
  <c r="O64" i="148"/>
  <c r="N64" i="148"/>
  <c r="M64" i="148"/>
  <c r="L64" i="148"/>
  <c r="K64" i="148"/>
  <c r="J64" i="148"/>
  <c r="I64" i="148"/>
  <c r="H64" i="148"/>
  <c r="G64" i="148"/>
  <c r="F64" i="148"/>
  <c r="O63" i="148"/>
  <c r="N63" i="148"/>
  <c r="M63" i="148"/>
  <c r="L63" i="148"/>
  <c r="K63" i="148"/>
  <c r="J63" i="148"/>
  <c r="I63" i="148"/>
  <c r="H63" i="148"/>
  <c r="G63" i="148"/>
  <c r="F63" i="148"/>
  <c r="O62" i="148"/>
  <c r="N62" i="148"/>
  <c r="M62" i="148"/>
  <c r="L62" i="148"/>
  <c r="K62" i="148"/>
  <c r="J62" i="148"/>
  <c r="I62" i="148"/>
  <c r="H62" i="148"/>
  <c r="G62" i="148"/>
  <c r="F62" i="148"/>
  <c r="O61" i="148"/>
  <c r="N61" i="148"/>
  <c r="M61" i="148"/>
  <c r="L61" i="148"/>
  <c r="K61" i="148"/>
  <c r="J61" i="148"/>
  <c r="I61" i="148"/>
  <c r="H61" i="148"/>
  <c r="G61" i="148"/>
  <c r="F61" i="148"/>
  <c r="O60" i="148"/>
  <c r="N60" i="148"/>
  <c r="M60" i="148"/>
  <c r="L60" i="148"/>
  <c r="K60" i="148"/>
  <c r="J60" i="148"/>
  <c r="I60" i="148"/>
  <c r="H60" i="148"/>
  <c r="G60" i="148"/>
  <c r="F60" i="148"/>
  <c r="O59" i="148"/>
  <c r="N59" i="148"/>
  <c r="M59" i="148"/>
  <c r="L59" i="148"/>
  <c r="K59" i="148"/>
  <c r="J59" i="148"/>
  <c r="I59" i="148"/>
  <c r="H59" i="148"/>
  <c r="G59" i="148"/>
  <c r="F59" i="148"/>
  <c r="O58" i="148"/>
  <c r="N58" i="148"/>
  <c r="M58" i="148"/>
  <c r="L58" i="148"/>
  <c r="K58" i="148"/>
  <c r="J58" i="148"/>
  <c r="I58" i="148"/>
  <c r="H58" i="148"/>
  <c r="G58" i="148"/>
  <c r="F58" i="148"/>
  <c r="O57" i="148"/>
  <c r="N57" i="148"/>
  <c r="M57" i="148"/>
  <c r="L57" i="148"/>
  <c r="K57" i="148"/>
  <c r="J57" i="148"/>
  <c r="I57" i="148"/>
  <c r="H57" i="148"/>
  <c r="G57" i="148"/>
  <c r="F57" i="148"/>
  <c r="O56" i="148"/>
  <c r="N56" i="148"/>
  <c r="M56" i="148"/>
  <c r="L56" i="148"/>
  <c r="K56" i="148"/>
  <c r="J56" i="148"/>
  <c r="I56" i="148"/>
  <c r="H56" i="148"/>
  <c r="G56" i="148"/>
  <c r="F56" i="148"/>
  <c r="O55" i="148"/>
  <c r="N55" i="148"/>
  <c r="M55" i="148"/>
  <c r="L55" i="148"/>
  <c r="K55" i="148"/>
  <c r="J55" i="148"/>
  <c r="I55" i="148"/>
  <c r="H55" i="148"/>
  <c r="G55" i="148"/>
  <c r="F55" i="148"/>
  <c r="O54" i="148"/>
  <c r="N54" i="148"/>
  <c r="M54" i="148"/>
  <c r="L54" i="148"/>
  <c r="K54" i="148"/>
  <c r="J54" i="148"/>
  <c r="I54" i="148"/>
  <c r="H54" i="148"/>
  <c r="G54" i="148"/>
  <c r="F54" i="148"/>
  <c r="O53" i="148"/>
  <c r="N53" i="148"/>
  <c r="M53" i="148"/>
  <c r="L53" i="148"/>
  <c r="K53" i="148"/>
  <c r="J53" i="148"/>
  <c r="I53" i="148"/>
  <c r="H53" i="148"/>
  <c r="G53" i="148"/>
  <c r="F53" i="148"/>
  <c r="O52" i="148"/>
  <c r="N52" i="148"/>
  <c r="M52" i="148"/>
  <c r="L52" i="148"/>
  <c r="K52" i="148"/>
  <c r="J52" i="148"/>
  <c r="I52" i="148"/>
  <c r="H52" i="148"/>
  <c r="G52" i="148"/>
  <c r="F52" i="148"/>
  <c r="O51" i="148"/>
  <c r="N51" i="148"/>
  <c r="M51" i="148"/>
  <c r="L51" i="148"/>
  <c r="K51" i="148"/>
  <c r="J51" i="148"/>
  <c r="I51" i="148"/>
  <c r="H51" i="148"/>
  <c r="G51" i="148"/>
  <c r="F51" i="148"/>
  <c r="O50" i="148"/>
  <c r="N50" i="148"/>
  <c r="M50" i="148"/>
  <c r="L50" i="148"/>
  <c r="K50" i="148"/>
  <c r="J50" i="148"/>
  <c r="I50" i="148"/>
  <c r="H50" i="148"/>
  <c r="G50" i="148"/>
  <c r="F50" i="148"/>
  <c r="O49" i="148"/>
  <c r="N49" i="148"/>
  <c r="M49" i="148"/>
  <c r="L49" i="148"/>
  <c r="K49" i="148"/>
  <c r="J49" i="148"/>
  <c r="I49" i="148"/>
  <c r="H49" i="148"/>
  <c r="G49" i="148"/>
  <c r="F49" i="148"/>
  <c r="O48" i="148"/>
  <c r="N48" i="148"/>
  <c r="M48" i="148"/>
  <c r="L48" i="148"/>
  <c r="K48" i="148"/>
  <c r="J48" i="148"/>
  <c r="I48" i="148"/>
  <c r="H48" i="148"/>
  <c r="G48" i="148"/>
  <c r="F48" i="148"/>
  <c r="O47" i="148"/>
  <c r="N47" i="148"/>
  <c r="M47" i="148"/>
  <c r="L47" i="148"/>
  <c r="K47" i="148"/>
  <c r="J47" i="148"/>
  <c r="I47" i="148"/>
  <c r="H47" i="148"/>
  <c r="G47" i="148"/>
  <c r="F47" i="148"/>
  <c r="O43" i="148"/>
  <c r="N43" i="148"/>
  <c r="M43" i="148"/>
  <c r="L43" i="148"/>
  <c r="K43" i="148"/>
  <c r="J43" i="148"/>
  <c r="I43" i="148"/>
  <c r="H43" i="148"/>
  <c r="G43" i="148"/>
  <c r="F43" i="148"/>
  <c r="O39" i="148"/>
  <c r="N39" i="148"/>
  <c r="M39" i="148"/>
  <c r="L39" i="148"/>
  <c r="K39" i="148"/>
  <c r="J39" i="148"/>
  <c r="I39" i="148"/>
  <c r="H39" i="148"/>
  <c r="G39" i="148"/>
  <c r="F39" i="148"/>
  <c r="O48" i="145"/>
  <c r="O48" i="145" a="1"/>
  <c r="M48" i="145"/>
  <c r="M48" i="145" a="1"/>
  <c r="K48" i="145"/>
  <c r="K48" i="145" a="1"/>
  <c r="I48" i="145"/>
  <c r="I48" i="145" a="1"/>
  <c r="G48" i="145"/>
  <c r="G48" i="145" a="1"/>
  <c r="O47" i="145"/>
  <c r="N47" i="145"/>
  <c r="M47" i="145"/>
  <c r="L47" i="145"/>
  <c r="K47" i="145"/>
  <c r="J47" i="145"/>
  <c r="I47" i="145"/>
  <c r="H47" i="145"/>
  <c r="G47" i="145"/>
  <c r="F47" i="145"/>
  <c r="O46" i="145"/>
  <c r="N46" i="145"/>
  <c r="M46" i="145"/>
  <c r="L46" i="145"/>
  <c r="K46" i="145"/>
  <c r="J46" i="145"/>
  <c r="I46" i="145"/>
  <c r="H46" i="145"/>
  <c r="G46" i="145"/>
  <c r="F46" i="145"/>
  <c r="O45" i="145"/>
  <c r="N45" i="145"/>
  <c r="M45" i="145"/>
  <c r="L45" i="145"/>
  <c r="K45" i="145"/>
  <c r="J45" i="145"/>
  <c r="I45" i="145"/>
  <c r="H45" i="145"/>
  <c r="G45" i="145"/>
  <c r="F45" i="145"/>
  <c r="O42" i="145"/>
  <c r="N42" i="145"/>
  <c r="M42" i="145"/>
  <c r="L42" i="145"/>
  <c r="K42" i="145"/>
  <c r="J42" i="145"/>
  <c r="I42" i="145"/>
  <c r="H42" i="145"/>
  <c r="G42" i="145"/>
  <c r="F42" i="145"/>
  <c r="O39" i="145"/>
  <c r="N39" i="145"/>
  <c r="M39" i="145"/>
  <c r="L39" i="145"/>
  <c r="K39" i="145"/>
  <c r="J39" i="145"/>
  <c r="I39" i="145"/>
  <c r="H39" i="145"/>
  <c r="G39" i="145"/>
  <c r="F39" i="145"/>
  <c r="O48" i="2"/>
  <c r="O48" i="2" a="1"/>
  <c r="M48" i="2"/>
  <c r="M48" i="2" a="1"/>
  <c r="K48" i="2"/>
  <c r="K48" i="2" a="1"/>
  <c r="I48" i="2"/>
  <c r="I48" i="2" a="1"/>
  <c r="G48" i="2"/>
  <c r="G48" i="2" a="1"/>
  <c r="O47" i="2"/>
  <c r="N47" i="2"/>
  <c r="M47" i="2"/>
  <c r="L47" i="2"/>
  <c r="K47" i="2"/>
  <c r="J47" i="2"/>
  <c r="I47" i="2"/>
  <c r="H47" i="2"/>
  <c r="G47" i="2"/>
  <c r="F47" i="2"/>
  <c r="O46" i="2"/>
  <c r="N46" i="2"/>
  <c r="M46" i="2"/>
  <c r="L46" i="2"/>
  <c r="K46" i="2"/>
  <c r="J46" i="2"/>
  <c r="I46" i="2"/>
  <c r="H46" i="2"/>
  <c r="G46" i="2"/>
  <c r="F46" i="2"/>
  <c r="O45" i="2"/>
  <c r="N45" i="2"/>
  <c r="M45" i="2"/>
  <c r="L45" i="2"/>
  <c r="K45" i="2"/>
  <c r="J45" i="2"/>
  <c r="I45" i="2"/>
  <c r="H45" i="2"/>
  <c r="G45" i="2"/>
  <c r="F45" i="2"/>
  <c r="O42" i="2"/>
  <c r="N42" i="2"/>
  <c r="M42" i="2"/>
  <c r="L42" i="2"/>
  <c r="K42" i="2"/>
  <c r="J42" i="2"/>
  <c r="I42" i="2"/>
  <c r="H42" i="2"/>
  <c r="G42" i="2"/>
  <c r="F42" i="2"/>
  <c r="O39" i="2"/>
  <c r="N39" i="2"/>
  <c r="M39" i="2"/>
  <c r="L39" i="2"/>
  <c r="K39" i="2"/>
  <c r="J39" i="2"/>
  <c r="I39" i="2"/>
  <c r="H39" i="2"/>
  <c r="G39" i="2"/>
  <c r="F39" i="2"/>
  <c r="H58" i="204" l="1"/>
  <c r="P58" i="204" s="1"/>
  <c r="Q58" i="204" s="1"/>
  <c r="H70" i="204"/>
  <c r="P70" i="204" s="1"/>
  <c r="Q70" i="204" s="1"/>
  <c r="L83" i="204"/>
  <c r="M83" i="204" s="1"/>
  <c r="G87" i="204"/>
  <c r="G91" i="204"/>
  <c r="J98" i="204"/>
  <c r="K98" i="204" s="1"/>
  <c r="L101" i="204"/>
  <c r="M101" i="204" s="1"/>
  <c r="J104" i="204"/>
  <c r="K104" i="204" s="1"/>
  <c r="L121" i="204"/>
  <c r="M121" i="204" s="1"/>
  <c r="L129" i="204"/>
  <c r="M129" i="204" s="1"/>
  <c r="H132" i="204"/>
  <c r="N140" i="204"/>
  <c r="O140" i="204" s="1"/>
  <c r="J58" i="204"/>
  <c r="K58" i="204" s="1"/>
  <c r="L61" i="204"/>
  <c r="M61" i="204" s="1"/>
  <c r="J70" i="204"/>
  <c r="K70" i="204" s="1"/>
  <c r="G81" i="204"/>
  <c r="N83" i="204"/>
  <c r="O83" i="204" s="1"/>
  <c r="H87" i="204"/>
  <c r="J91" i="204"/>
  <c r="K91" i="204" s="1"/>
  <c r="H96" i="204"/>
  <c r="L98" i="204"/>
  <c r="M98" i="204" s="1"/>
  <c r="N101" i="204"/>
  <c r="O101" i="204" s="1"/>
  <c r="L108" i="204"/>
  <c r="M108" i="204" s="1"/>
  <c r="N112" i="204"/>
  <c r="O112" i="204" s="1"/>
  <c r="G117" i="204"/>
  <c r="N124" i="204"/>
  <c r="O124" i="204" s="1"/>
  <c r="G136" i="204"/>
  <c r="L158" i="204"/>
  <c r="M158" i="204" s="1"/>
  <c r="N61" i="204"/>
  <c r="O61" i="204" s="1"/>
  <c r="L73" i="204"/>
  <c r="M73" i="204" s="1"/>
  <c r="G77" i="204"/>
  <c r="H81" i="204"/>
  <c r="J87" i="204"/>
  <c r="K87" i="204" s="1"/>
  <c r="N108" i="204"/>
  <c r="O108" i="204" s="1"/>
  <c r="L132" i="204"/>
  <c r="M132" i="204" s="1"/>
  <c r="H136" i="204"/>
  <c r="I136" i="204" s="1"/>
  <c r="N58" i="204"/>
  <c r="O58" i="204" s="1"/>
  <c r="N70" i="204"/>
  <c r="O70" i="204" s="1"/>
  <c r="L96" i="204"/>
  <c r="M96" i="204" s="1"/>
  <c r="L117" i="204"/>
  <c r="M117" i="204" s="1"/>
  <c r="N132" i="204"/>
  <c r="O132" i="204" s="1"/>
  <c r="H33" i="204"/>
  <c r="H83" i="204"/>
  <c r="G98" i="204"/>
  <c r="G104" i="204"/>
  <c r="G108" i="204"/>
  <c r="L123" i="204"/>
  <c r="M123" i="204" s="1"/>
  <c r="L80" i="204"/>
  <c r="M80" i="204" s="1"/>
  <c r="J83" i="204"/>
  <c r="K83" i="204" s="1"/>
  <c r="H98" i="204"/>
  <c r="H104" i="204"/>
  <c r="I104" i="204" s="1"/>
  <c r="H108" i="204"/>
  <c r="P108" i="204" s="1"/>
  <c r="Q108" i="204" s="1"/>
  <c r="G132" i="204"/>
  <c r="J59" i="204"/>
  <c r="K59" i="204" s="1"/>
  <c r="H67" i="204"/>
  <c r="H126" i="204"/>
  <c r="I126" i="204" s="1"/>
  <c r="H55" i="204"/>
  <c r="L59" i="204"/>
  <c r="M59" i="204" s="1"/>
  <c r="J67" i="204"/>
  <c r="K67" i="204" s="1"/>
  <c r="L71" i="204"/>
  <c r="M71" i="204" s="1"/>
  <c r="H100" i="204"/>
  <c r="G103" i="204"/>
  <c r="J115" i="204"/>
  <c r="K115" i="204" s="1"/>
  <c r="J71" i="204"/>
  <c r="K71" i="204" s="1"/>
  <c r="L74" i="204"/>
  <c r="M74" i="204" s="1"/>
  <c r="N87" i="204"/>
  <c r="O87" i="204" s="1"/>
  <c r="H118" i="204"/>
  <c r="I118" i="204" s="1"/>
  <c r="N59" i="204"/>
  <c r="O59" i="204" s="1"/>
  <c r="L67" i="204"/>
  <c r="M67" i="204" s="1"/>
  <c r="N71" i="204"/>
  <c r="O71" i="204" s="1"/>
  <c r="H79" i="204"/>
  <c r="I79" i="204" s="1"/>
  <c r="L88" i="204"/>
  <c r="M88" i="204" s="1"/>
  <c r="J100" i="204"/>
  <c r="K100" i="204" s="1"/>
  <c r="J103" i="204"/>
  <c r="K103" i="204" s="1"/>
  <c r="L118" i="204"/>
  <c r="M118" i="204" s="1"/>
  <c r="L122" i="204"/>
  <c r="M122" i="204" s="1"/>
  <c r="L126" i="204"/>
  <c r="M126" i="204" s="1"/>
  <c r="L130" i="204"/>
  <c r="M130" i="204" s="1"/>
  <c r="G76" i="204"/>
  <c r="J79" i="204"/>
  <c r="K79" i="204" s="1"/>
  <c r="L100" i="204"/>
  <c r="M100" i="204" s="1"/>
  <c r="N118" i="204"/>
  <c r="O118" i="204" s="1"/>
  <c r="N122" i="204"/>
  <c r="O122" i="204" s="1"/>
  <c r="N126" i="204"/>
  <c r="O126" i="204" s="1"/>
  <c r="N130" i="204"/>
  <c r="O130" i="204" s="1"/>
  <c r="I57" i="204"/>
  <c r="P57" i="204"/>
  <c r="Q57" i="204" s="1"/>
  <c r="I90" i="204"/>
  <c r="P90" i="204"/>
  <c r="Q90" i="204" s="1"/>
  <c r="I51" i="204"/>
  <c r="P51" i="204"/>
  <c r="Q51" i="204" s="1"/>
  <c r="I52" i="204"/>
  <c r="P52" i="204"/>
  <c r="Q52" i="204" s="1"/>
  <c r="I36" i="204"/>
  <c r="P36" i="204"/>
  <c r="Q36" i="204" s="1"/>
  <c r="I30" i="204"/>
  <c r="P30" i="204"/>
  <c r="Q30" i="204" s="1"/>
  <c r="I99" i="204"/>
  <c r="P99" i="204"/>
  <c r="Q99" i="204" s="1"/>
  <c r="G34" i="204"/>
  <c r="N34" i="204"/>
  <c r="O34" i="204" s="1"/>
  <c r="L34" i="204"/>
  <c r="M34" i="204" s="1"/>
  <c r="J36" i="204"/>
  <c r="K36" i="204" s="1"/>
  <c r="G56" i="204"/>
  <c r="J56" i="204"/>
  <c r="K56" i="204" s="1"/>
  <c r="H56" i="204"/>
  <c r="N56" i="204"/>
  <c r="O56" i="204" s="1"/>
  <c r="G69" i="204"/>
  <c r="N69" i="204"/>
  <c r="O69" i="204" s="1"/>
  <c r="G75" i="204"/>
  <c r="L75" i="204"/>
  <c r="M75" i="204" s="1"/>
  <c r="J75" i="204"/>
  <c r="K75" i="204" s="1"/>
  <c r="H75" i="204"/>
  <c r="N106" i="204"/>
  <c r="O106" i="204" s="1"/>
  <c r="L120" i="204"/>
  <c r="M120" i="204" s="1"/>
  <c r="G51" i="204"/>
  <c r="N51" i="204"/>
  <c r="O51" i="204" s="1"/>
  <c r="L51" i="204"/>
  <c r="M51" i="204" s="1"/>
  <c r="I58" i="204"/>
  <c r="J99" i="204"/>
  <c r="K99" i="204" s="1"/>
  <c r="G99" i="204"/>
  <c r="N99" i="204"/>
  <c r="O99" i="204" s="1"/>
  <c r="H120" i="204"/>
  <c r="J131" i="204"/>
  <c r="K131" i="204" s="1"/>
  <c r="H131" i="204"/>
  <c r="J133" i="204"/>
  <c r="K133" i="204" s="1"/>
  <c r="H133" i="204"/>
  <c r="G133" i="204"/>
  <c r="N133" i="204"/>
  <c r="O133" i="204" s="1"/>
  <c r="J144" i="204"/>
  <c r="K144" i="204" s="1"/>
  <c r="H144" i="204"/>
  <c r="N144" i="204"/>
  <c r="O144" i="204" s="1"/>
  <c r="L144" i="204"/>
  <c r="M144" i="204" s="1"/>
  <c r="G144" i="204"/>
  <c r="H34" i="204"/>
  <c r="G49" i="204"/>
  <c r="N49" i="204"/>
  <c r="O49" i="204" s="1"/>
  <c r="L49" i="204"/>
  <c r="M49" i="204" s="1"/>
  <c r="J51" i="204"/>
  <c r="K51" i="204" s="1"/>
  <c r="H69" i="204"/>
  <c r="N75" i="204"/>
  <c r="O75" i="204" s="1"/>
  <c r="P79" i="204"/>
  <c r="Q79" i="204" s="1"/>
  <c r="J82" i="204"/>
  <c r="K82" i="204" s="1"/>
  <c r="G82" i="204"/>
  <c r="N82" i="204"/>
  <c r="O82" i="204" s="1"/>
  <c r="G89" i="204"/>
  <c r="L89" i="204"/>
  <c r="M89" i="204" s="1"/>
  <c r="J89" i="204"/>
  <c r="K89" i="204" s="1"/>
  <c r="H89" i="204"/>
  <c r="G95" i="204"/>
  <c r="H95" i="204"/>
  <c r="N95" i="204"/>
  <c r="O95" i="204" s="1"/>
  <c r="P104" i="204"/>
  <c r="Q104" i="204" s="1"/>
  <c r="J123" i="204"/>
  <c r="K123" i="204" s="1"/>
  <c r="H123" i="204"/>
  <c r="L131" i="204"/>
  <c r="M131" i="204" s="1"/>
  <c r="G32" i="204"/>
  <c r="N32" i="204"/>
  <c r="O32" i="204" s="1"/>
  <c r="L32" i="204"/>
  <c r="M32" i="204" s="1"/>
  <c r="J34" i="204"/>
  <c r="K34" i="204" s="1"/>
  <c r="I49" i="204"/>
  <c r="P49" i="204"/>
  <c r="Q49" i="204" s="1"/>
  <c r="G54" i="204"/>
  <c r="N54" i="204"/>
  <c r="O54" i="204" s="1"/>
  <c r="L54" i="204"/>
  <c r="M54" i="204" s="1"/>
  <c r="J69" i="204"/>
  <c r="K69" i="204" s="1"/>
  <c r="H82" i="204"/>
  <c r="N89" i="204"/>
  <c r="O89" i="204" s="1"/>
  <c r="J95" i="204"/>
  <c r="K95" i="204" s="1"/>
  <c r="L99" i="204"/>
  <c r="M99" i="204" s="1"/>
  <c r="J102" i="204"/>
  <c r="K102" i="204" s="1"/>
  <c r="N102" i="204"/>
  <c r="O102" i="204" s="1"/>
  <c r="L102" i="204"/>
  <c r="M102" i="204" s="1"/>
  <c r="H102" i="204"/>
  <c r="G107" i="204"/>
  <c r="N107" i="204"/>
  <c r="O107" i="204" s="1"/>
  <c r="H107" i="204"/>
  <c r="L107" i="204"/>
  <c r="M107" i="204" s="1"/>
  <c r="G123" i="204"/>
  <c r="N131" i="204"/>
  <c r="O131" i="204" s="1"/>
  <c r="J154" i="204"/>
  <c r="K154" i="204" s="1"/>
  <c r="H154" i="204"/>
  <c r="L154" i="204"/>
  <c r="M154" i="204" s="1"/>
  <c r="G154" i="204"/>
  <c r="G35" i="204"/>
  <c r="N35" i="204"/>
  <c r="O35" i="204" s="1"/>
  <c r="L35" i="204"/>
  <c r="M35" i="204" s="1"/>
  <c r="I110" i="204"/>
  <c r="P110" i="204"/>
  <c r="Q110" i="204" s="1"/>
  <c r="I33" i="204"/>
  <c r="P33" i="204"/>
  <c r="Q33" i="204" s="1"/>
  <c r="G38" i="204"/>
  <c r="N38" i="204"/>
  <c r="O38" i="204" s="1"/>
  <c r="L38" i="204"/>
  <c r="M38" i="204" s="1"/>
  <c r="I55" i="204"/>
  <c r="P55" i="204"/>
  <c r="Q55" i="204" s="1"/>
  <c r="G64" i="204"/>
  <c r="L64" i="204"/>
  <c r="M64" i="204" s="1"/>
  <c r="J64" i="204"/>
  <c r="K64" i="204" s="1"/>
  <c r="G68" i="204"/>
  <c r="J68" i="204"/>
  <c r="K68" i="204" s="1"/>
  <c r="H68" i="204"/>
  <c r="N68" i="204"/>
  <c r="O68" i="204" s="1"/>
  <c r="I81" i="204"/>
  <c r="P81" i="204"/>
  <c r="Q81" i="204" s="1"/>
  <c r="J111" i="204"/>
  <c r="K111" i="204" s="1"/>
  <c r="L111" i="204"/>
  <c r="M111" i="204" s="1"/>
  <c r="H111" i="204"/>
  <c r="J119" i="204"/>
  <c r="K119" i="204" s="1"/>
  <c r="H119" i="204"/>
  <c r="N119" i="204"/>
  <c r="O119" i="204" s="1"/>
  <c r="L119" i="204"/>
  <c r="M119" i="204" s="1"/>
  <c r="G119" i="204"/>
  <c r="J128" i="204"/>
  <c r="K128" i="204" s="1"/>
  <c r="G128" i="204"/>
  <c r="G31" i="204"/>
  <c r="N31" i="204"/>
  <c r="O31" i="204" s="1"/>
  <c r="L31" i="204"/>
  <c r="M31" i="204" s="1"/>
  <c r="H38" i="204"/>
  <c r="G53" i="204"/>
  <c r="N53" i="204"/>
  <c r="O53" i="204" s="1"/>
  <c r="L53" i="204"/>
  <c r="M53" i="204" s="1"/>
  <c r="H64" i="204"/>
  <c r="G66" i="204"/>
  <c r="H66" i="204"/>
  <c r="N66" i="204"/>
  <c r="O66" i="204" s="1"/>
  <c r="L66" i="204"/>
  <c r="M66" i="204" s="1"/>
  <c r="G94" i="204"/>
  <c r="N94" i="204"/>
  <c r="O94" i="204" s="1"/>
  <c r="L94" i="204"/>
  <c r="M94" i="204" s="1"/>
  <c r="G111" i="204"/>
  <c r="J114" i="204"/>
  <c r="K114" i="204" s="1"/>
  <c r="G114" i="204"/>
  <c r="N114" i="204"/>
  <c r="O114" i="204" s="1"/>
  <c r="I122" i="204"/>
  <c r="P122" i="204"/>
  <c r="Q122" i="204" s="1"/>
  <c r="J125" i="204"/>
  <c r="K125" i="204" s="1"/>
  <c r="H125" i="204"/>
  <c r="G125" i="204"/>
  <c r="N125" i="204"/>
  <c r="O125" i="204" s="1"/>
  <c r="H128" i="204"/>
  <c r="H31" i="204"/>
  <c r="G36" i="204"/>
  <c r="N36" i="204"/>
  <c r="O36" i="204" s="1"/>
  <c r="L36" i="204"/>
  <c r="M36" i="204" s="1"/>
  <c r="J38" i="204"/>
  <c r="K38" i="204" s="1"/>
  <c r="H53" i="204"/>
  <c r="N64" i="204"/>
  <c r="O64" i="204" s="1"/>
  <c r="H94" i="204"/>
  <c r="L106" i="204"/>
  <c r="M106" i="204" s="1"/>
  <c r="J106" i="204"/>
  <c r="K106" i="204" s="1"/>
  <c r="H106" i="204"/>
  <c r="H114" i="204"/>
  <c r="J120" i="204"/>
  <c r="K120" i="204" s="1"/>
  <c r="G120" i="204"/>
  <c r="L128" i="204"/>
  <c r="M128" i="204" s="1"/>
  <c r="J148" i="204"/>
  <c r="K148" i="204" s="1"/>
  <c r="H148" i="204"/>
  <c r="L148" i="204"/>
  <c r="M148" i="204" s="1"/>
  <c r="G148" i="204"/>
  <c r="I32" i="204"/>
  <c r="P32" i="204"/>
  <c r="Q32" i="204" s="1"/>
  <c r="G37" i="204"/>
  <c r="N37" i="204"/>
  <c r="O37" i="204" s="1"/>
  <c r="L37" i="204"/>
  <c r="M37" i="204" s="1"/>
  <c r="I54" i="204"/>
  <c r="P54" i="204"/>
  <c r="Q54" i="204" s="1"/>
  <c r="I67" i="204"/>
  <c r="P67" i="204"/>
  <c r="Q67" i="204" s="1"/>
  <c r="L78" i="204"/>
  <c r="M78" i="204" s="1"/>
  <c r="H78" i="204"/>
  <c r="I87" i="204"/>
  <c r="P87" i="204"/>
  <c r="Q87" i="204" s="1"/>
  <c r="J150" i="204"/>
  <c r="K150" i="204" s="1"/>
  <c r="H150" i="204"/>
  <c r="N150" i="204"/>
  <c r="O150" i="204" s="1"/>
  <c r="L150" i="204"/>
  <c r="M150" i="204" s="1"/>
  <c r="G150" i="204"/>
  <c r="G30" i="204"/>
  <c r="N30" i="204"/>
  <c r="O30" i="204" s="1"/>
  <c r="L30" i="204"/>
  <c r="M30" i="204" s="1"/>
  <c r="H37" i="204"/>
  <c r="G52" i="204"/>
  <c r="N52" i="204"/>
  <c r="O52" i="204" s="1"/>
  <c r="L52" i="204"/>
  <c r="M52" i="204" s="1"/>
  <c r="G57" i="204"/>
  <c r="N57" i="204"/>
  <c r="O57" i="204" s="1"/>
  <c r="G63" i="204"/>
  <c r="L63" i="204"/>
  <c r="M63" i="204" s="1"/>
  <c r="J63" i="204"/>
  <c r="K63" i="204" s="1"/>
  <c r="H63" i="204"/>
  <c r="G78" i="204"/>
  <c r="L85" i="204"/>
  <c r="M85" i="204" s="1"/>
  <c r="N85" i="204"/>
  <c r="O85" i="204" s="1"/>
  <c r="J85" i="204"/>
  <c r="K85" i="204" s="1"/>
  <c r="H85" i="204"/>
  <c r="J90" i="204"/>
  <c r="K90" i="204" s="1"/>
  <c r="G90" i="204"/>
  <c r="N90" i="204"/>
  <c r="O90" i="204" s="1"/>
  <c r="L90" i="204"/>
  <c r="M90" i="204" s="1"/>
  <c r="I100" i="204"/>
  <c r="P100" i="204"/>
  <c r="Q100" i="204" s="1"/>
  <c r="J30" i="204"/>
  <c r="K30" i="204" s="1"/>
  <c r="I35" i="204"/>
  <c r="P35" i="204"/>
  <c r="Q35" i="204" s="1"/>
  <c r="G50" i="204"/>
  <c r="N50" i="204"/>
  <c r="O50" i="204" s="1"/>
  <c r="L50" i="204"/>
  <c r="M50" i="204" s="1"/>
  <c r="J52" i="204"/>
  <c r="K52" i="204" s="1"/>
  <c r="J57" i="204"/>
  <c r="K57" i="204" s="1"/>
  <c r="N63" i="204"/>
  <c r="O63" i="204" s="1"/>
  <c r="I83" i="204"/>
  <c r="P83" i="204"/>
  <c r="Q83" i="204" s="1"/>
  <c r="L93" i="204"/>
  <c r="M93" i="204" s="1"/>
  <c r="J93" i="204"/>
  <c r="K93" i="204" s="1"/>
  <c r="H93" i="204"/>
  <c r="G93" i="204"/>
  <c r="G113" i="204"/>
  <c r="N113" i="204"/>
  <c r="O113" i="204" s="1"/>
  <c r="L113" i="204"/>
  <c r="M113" i="204" s="1"/>
  <c r="J113" i="204"/>
  <c r="K113" i="204" s="1"/>
  <c r="J127" i="204"/>
  <c r="K127" i="204" s="1"/>
  <c r="H127" i="204"/>
  <c r="N127" i="204"/>
  <c r="O127" i="204" s="1"/>
  <c r="L127" i="204"/>
  <c r="M127" i="204" s="1"/>
  <c r="G127" i="204"/>
  <c r="J142" i="204"/>
  <c r="K142" i="204" s="1"/>
  <c r="H142" i="204"/>
  <c r="L142" i="204"/>
  <c r="M142" i="204" s="1"/>
  <c r="G142" i="204"/>
  <c r="J156" i="204"/>
  <c r="K156" i="204" s="1"/>
  <c r="H156" i="204"/>
  <c r="N156" i="204"/>
  <c r="O156" i="204" s="1"/>
  <c r="L156" i="204"/>
  <c r="M156" i="204" s="1"/>
  <c r="G156" i="204"/>
  <c r="G33" i="204"/>
  <c r="N33" i="204"/>
  <c r="O33" i="204" s="1"/>
  <c r="L33" i="204"/>
  <c r="M33" i="204" s="1"/>
  <c r="J35" i="204"/>
  <c r="K35" i="204" s="1"/>
  <c r="H50" i="204"/>
  <c r="G55" i="204"/>
  <c r="N55" i="204"/>
  <c r="O55" i="204" s="1"/>
  <c r="L55" i="204"/>
  <c r="M55" i="204" s="1"/>
  <c r="L57" i="204"/>
  <c r="M57" i="204" s="1"/>
  <c r="I70" i="204"/>
  <c r="N78" i="204"/>
  <c r="O78" i="204" s="1"/>
  <c r="L91" i="204"/>
  <c r="M91" i="204" s="1"/>
  <c r="H91" i="204"/>
  <c r="I108" i="204"/>
  <c r="H113" i="204"/>
  <c r="N116" i="204"/>
  <c r="O116" i="204" s="1"/>
  <c r="G116" i="204"/>
  <c r="L116" i="204"/>
  <c r="M116" i="204" s="1"/>
  <c r="J116" i="204"/>
  <c r="K116" i="204" s="1"/>
  <c r="H116" i="204"/>
  <c r="I116" i="204" s="1"/>
  <c r="P118" i="204"/>
  <c r="Q118" i="204" s="1"/>
  <c r="I130" i="204"/>
  <c r="P130" i="204"/>
  <c r="Q130" i="204" s="1"/>
  <c r="J138" i="204"/>
  <c r="K138" i="204" s="1"/>
  <c r="H138" i="204"/>
  <c r="N138" i="204"/>
  <c r="O138" i="204" s="1"/>
  <c r="L138" i="204"/>
  <c r="M138" i="204" s="1"/>
  <c r="G138" i="204"/>
  <c r="J137" i="204"/>
  <c r="K137" i="204" s="1"/>
  <c r="H137" i="204"/>
  <c r="J139" i="204"/>
  <c r="K139" i="204" s="1"/>
  <c r="H139" i="204"/>
  <c r="L139" i="204"/>
  <c r="M139" i="204" s="1"/>
  <c r="J141" i="204"/>
  <c r="K141" i="204" s="1"/>
  <c r="H141" i="204"/>
  <c r="N141" i="204"/>
  <c r="O141" i="204" s="1"/>
  <c r="J145" i="204"/>
  <c r="K145" i="204" s="1"/>
  <c r="H145" i="204"/>
  <c r="L145" i="204"/>
  <c r="M145" i="204" s="1"/>
  <c r="J147" i="204"/>
  <c r="K147" i="204" s="1"/>
  <c r="H147" i="204"/>
  <c r="N147" i="204"/>
  <c r="O147" i="204" s="1"/>
  <c r="J151" i="204"/>
  <c r="K151" i="204" s="1"/>
  <c r="H151" i="204"/>
  <c r="L151" i="204"/>
  <c r="M151" i="204" s="1"/>
  <c r="J153" i="204"/>
  <c r="K153" i="204" s="1"/>
  <c r="H153" i="204"/>
  <c r="N153" i="204"/>
  <c r="O153" i="204" s="1"/>
  <c r="J157" i="204"/>
  <c r="K157" i="204" s="1"/>
  <c r="H157" i="204"/>
  <c r="L157" i="204"/>
  <c r="M157" i="204" s="1"/>
  <c r="J159" i="204"/>
  <c r="K159" i="204" s="1"/>
  <c r="H159" i="204"/>
  <c r="N159" i="204"/>
  <c r="O159" i="204" s="1"/>
  <c r="H62" i="204"/>
  <c r="H74" i="204"/>
  <c r="N77" i="204"/>
  <c r="O77" i="204" s="1"/>
  <c r="G80" i="204"/>
  <c r="G97" i="204"/>
  <c r="N103" i="204"/>
  <c r="O103" i="204" s="1"/>
  <c r="G109" i="204"/>
  <c r="N117" i="204"/>
  <c r="O117" i="204" s="1"/>
  <c r="G124" i="204"/>
  <c r="G137" i="204"/>
  <c r="G139" i="204"/>
  <c r="G141" i="204"/>
  <c r="J143" i="204"/>
  <c r="K143" i="204" s="1"/>
  <c r="H143" i="204"/>
  <c r="G143" i="204"/>
  <c r="G145" i="204"/>
  <c r="G147" i="204"/>
  <c r="J149" i="204"/>
  <c r="K149" i="204" s="1"/>
  <c r="H149" i="204"/>
  <c r="G149" i="204"/>
  <c r="G151" i="204"/>
  <c r="G153" i="204"/>
  <c r="J155" i="204"/>
  <c r="K155" i="204" s="1"/>
  <c r="H155" i="204"/>
  <c r="G155" i="204"/>
  <c r="G157" i="204"/>
  <c r="G159" i="204"/>
  <c r="H61" i="204"/>
  <c r="N67" i="204"/>
  <c r="O67" i="204" s="1"/>
  <c r="H73" i="204"/>
  <c r="H80" i="204"/>
  <c r="G84" i="204"/>
  <c r="G88" i="204"/>
  <c r="H97" i="204"/>
  <c r="H101" i="204"/>
  <c r="G105" i="204"/>
  <c r="H109" i="204"/>
  <c r="G112" i="204"/>
  <c r="J121" i="204"/>
  <c r="K121" i="204" s="1"/>
  <c r="H121" i="204"/>
  <c r="H124" i="204"/>
  <c r="J129" i="204"/>
  <c r="K129" i="204" s="1"/>
  <c r="H129" i="204"/>
  <c r="J134" i="204"/>
  <c r="K134" i="204" s="1"/>
  <c r="N134" i="204"/>
  <c r="O134" i="204" s="1"/>
  <c r="L137" i="204"/>
  <c r="M137" i="204" s="1"/>
  <c r="L143" i="204"/>
  <c r="M143" i="204" s="1"/>
  <c r="L149" i="204"/>
  <c r="M149" i="204" s="1"/>
  <c r="L155" i="204"/>
  <c r="M155" i="204" s="1"/>
  <c r="H60" i="204"/>
  <c r="J62" i="204"/>
  <c r="K62" i="204" s="1"/>
  <c r="H72" i="204"/>
  <c r="J74" i="204"/>
  <c r="K74" i="204" s="1"/>
  <c r="J80" i="204"/>
  <c r="K80" i="204" s="1"/>
  <c r="H84" i="204"/>
  <c r="H88" i="204"/>
  <c r="G92" i="204"/>
  <c r="J97" i="204"/>
  <c r="K97" i="204" s="1"/>
  <c r="J101" i="204"/>
  <c r="K101" i="204" s="1"/>
  <c r="H105" i="204"/>
  <c r="J109" i="204"/>
  <c r="K109" i="204" s="1"/>
  <c r="H112" i="204"/>
  <c r="G115" i="204"/>
  <c r="G121" i="204"/>
  <c r="G129" i="204"/>
  <c r="G134" i="204"/>
  <c r="L141" i="204"/>
  <c r="M141" i="204" s="1"/>
  <c r="L147" i="204"/>
  <c r="M147" i="204" s="1"/>
  <c r="L153" i="204"/>
  <c r="M153" i="204" s="1"/>
  <c r="L159" i="204"/>
  <c r="M159" i="204" s="1"/>
  <c r="H59" i="204"/>
  <c r="J61" i="204"/>
  <c r="K61" i="204" s="1"/>
  <c r="H71" i="204"/>
  <c r="J73" i="204"/>
  <c r="K73" i="204" s="1"/>
  <c r="G79" i="204"/>
  <c r="H92" i="204"/>
  <c r="G96" i="204"/>
  <c r="J112" i="204"/>
  <c r="K112" i="204" s="1"/>
  <c r="H115" i="204"/>
  <c r="G118" i="204"/>
  <c r="L124" i="204"/>
  <c r="M124" i="204" s="1"/>
  <c r="G126" i="204"/>
  <c r="H134" i="204"/>
  <c r="N137" i="204"/>
  <c r="O137" i="204" s="1"/>
  <c r="N139" i="204"/>
  <c r="O139" i="204" s="1"/>
  <c r="N143" i="204"/>
  <c r="O143" i="204" s="1"/>
  <c r="N145" i="204"/>
  <c r="O145" i="204" s="1"/>
  <c r="N149" i="204"/>
  <c r="O149" i="204" s="1"/>
  <c r="N151" i="204"/>
  <c r="O151" i="204" s="1"/>
  <c r="N155" i="204"/>
  <c r="O155" i="204" s="1"/>
  <c r="N157" i="204"/>
  <c r="O157" i="204" s="1"/>
  <c r="N62" i="204"/>
  <c r="O62" i="204" s="1"/>
  <c r="N74" i="204"/>
  <c r="O74" i="204" s="1"/>
  <c r="J140" i="204"/>
  <c r="K140" i="204" s="1"/>
  <c r="H140" i="204"/>
  <c r="G140" i="204"/>
  <c r="J146" i="204"/>
  <c r="K146" i="204" s="1"/>
  <c r="H146" i="204"/>
  <c r="G146" i="204"/>
  <c r="J152" i="204"/>
  <c r="K152" i="204" s="1"/>
  <c r="H152" i="204"/>
  <c r="G152" i="204"/>
  <c r="J158" i="204"/>
  <c r="K158" i="204" s="1"/>
  <c r="H158" i="204"/>
  <c r="G158" i="204"/>
  <c r="L58" i="204"/>
  <c r="M58" i="204" s="1"/>
  <c r="N60" i="204"/>
  <c r="O60" i="204" s="1"/>
  <c r="L70" i="204"/>
  <c r="M70" i="204" s="1"/>
  <c r="N72" i="204"/>
  <c r="O72" i="204" s="1"/>
  <c r="H77" i="204"/>
  <c r="N79" i="204"/>
  <c r="O79" i="204" s="1"/>
  <c r="H86" i="204"/>
  <c r="N96" i="204"/>
  <c r="O96" i="204" s="1"/>
  <c r="H103" i="204"/>
  <c r="L104" i="204"/>
  <c r="M104" i="204" s="1"/>
  <c r="N110" i="204"/>
  <c r="O110" i="204" s="1"/>
  <c r="G110" i="204"/>
  <c r="H117" i="204"/>
  <c r="J135" i="204"/>
  <c r="K135" i="204" s="1"/>
  <c r="H135" i="204"/>
  <c r="G27" i="204"/>
  <c r="H27" i="204"/>
  <c r="I27" i="204" s="1"/>
  <c r="J27" i="204"/>
  <c r="K27" i="204" s="1"/>
  <c r="L27" i="204"/>
  <c r="M27" i="204" s="1"/>
  <c r="N27" i="204"/>
  <c r="O27" i="204" s="1"/>
  <c r="N50" i="203"/>
  <c r="O50" i="203" s="1"/>
  <c r="H50" i="203"/>
  <c r="P50" i="203" s="1"/>
  <c r="Q50" i="203" s="1"/>
  <c r="G50" i="203"/>
  <c r="L50" i="203"/>
  <c r="M50" i="203" s="1"/>
  <c r="J50" i="203"/>
  <c r="K50" i="203" s="1"/>
  <c r="N115" i="203"/>
  <c r="O115" i="203" s="1"/>
  <c r="J115" i="203"/>
  <c r="K115" i="203" s="1"/>
  <c r="H115" i="203"/>
  <c r="L115" i="203"/>
  <c r="M115" i="203" s="1"/>
  <c r="L88" i="203"/>
  <c r="M88" i="203" s="1"/>
  <c r="H88" i="203"/>
  <c r="I88" i="203" s="1"/>
  <c r="G88" i="203"/>
  <c r="N88" i="203"/>
  <c r="O88" i="203" s="1"/>
  <c r="J88" i="203"/>
  <c r="K88" i="203" s="1"/>
  <c r="H65" i="203"/>
  <c r="P65" i="203" s="1"/>
  <c r="Q65" i="203" s="1"/>
  <c r="G65" i="203"/>
  <c r="J65" i="203"/>
  <c r="K65" i="203" s="1"/>
  <c r="N70" i="203"/>
  <c r="O70" i="203" s="1"/>
  <c r="J70" i="203"/>
  <c r="K70" i="203" s="1"/>
  <c r="H70" i="203"/>
  <c r="L70" i="203"/>
  <c r="M70" i="203" s="1"/>
  <c r="I73" i="203"/>
  <c r="P73" i="203"/>
  <c r="Q73" i="203" s="1"/>
  <c r="L122" i="203"/>
  <c r="M122" i="203" s="1"/>
  <c r="H122" i="203"/>
  <c r="I122" i="203" s="1"/>
  <c r="G122" i="203"/>
  <c r="N122" i="203"/>
  <c r="O122" i="203" s="1"/>
  <c r="P94" i="203"/>
  <c r="Q94" i="203" s="1"/>
  <c r="I94" i="203"/>
  <c r="G70" i="203"/>
  <c r="P76" i="203"/>
  <c r="Q76" i="203" s="1"/>
  <c r="I76" i="203"/>
  <c r="H142" i="203"/>
  <c r="G142" i="203"/>
  <c r="L142" i="203"/>
  <c r="M142" i="203" s="1"/>
  <c r="H33" i="203"/>
  <c r="L33" i="203"/>
  <c r="M33" i="203" s="1"/>
  <c r="J33" i="203"/>
  <c r="K33" i="203" s="1"/>
  <c r="K160" i="203" s="1"/>
  <c r="N33" i="203"/>
  <c r="O33" i="203" s="1"/>
  <c r="H139" i="203"/>
  <c r="P139" i="203" s="1"/>
  <c r="Q139" i="203" s="1"/>
  <c r="J139" i="203"/>
  <c r="K139" i="203" s="1"/>
  <c r="H60" i="203"/>
  <c r="L60" i="203"/>
  <c r="M60" i="203" s="1"/>
  <c r="J60" i="203"/>
  <c r="K60" i="203" s="1"/>
  <c r="N60" i="203"/>
  <c r="O60" i="203" s="1"/>
  <c r="N104" i="203"/>
  <c r="O104" i="203" s="1"/>
  <c r="L104" i="203"/>
  <c r="M104" i="203" s="1"/>
  <c r="H104" i="203"/>
  <c r="G104" i="203"/>
  <c r="J104" i="203"/>
  <c r="K104" i="203" s="1"/>
  <c r="G31" i="203"/>
  <c r="J37" i="203"/>
  <c r="K37" i="203" s="1"/>
  <c r="H82" i="203"/>
  <c r="H98" i="203"/>
  <c r="P98" i="203" s="1"/>
  <c r="Q98" i="203" s="1"/>
  <c r="H101" i="203"/>
  <c r="G118" i="203"/>
  <c r="N119" i="203"/>
  <c r="O119" i="203" s="1"/>
  <c r="G129" i="203"/>
  <c r="G134" i="203"/>
  <c r="G138" i="203"/>
  <c r="H140" i="203"/>
  <c r="L145" i="203"/>
  <c r="M145" i="203" s="1"/>
  <c r="G148" i="203"/>
  <c r="G155" i="203"/>
  <c r="G157" i="203"/>
  <c r="L37" i="203"/>
  <c r="M37" i="203" s="1"/>
  <c r="G54" i="203"/>
  <c r="G57" i="203"/>
  <c r="G69" i="203"/>
  <c r="J76" i="203"/>
  <c r="K76" i="203" s="1"/>
  <c r="G85" i="203"/>
  <c r="G109" i="203"/>
  <c r="H118" i="203"/>
  <c r="H129" i="203"/>
  <c r="P129" i="203" s="1"/>
  <c r="Q129" i="203" s="1"/>
  <c r="J132" i="203"/>
  <c r="K132" i="203" s="1"/>
  <c r="H134" i="203"/>
  <c r="P134" i="203" s="1"/>
  <c r="Q134" i="203" s="1"/>
  <c r="H138" i="203"/>
  <c r="N145" i="203"/>
  <c r="O145" i="203" s="1"/>
  <c r="J155" i="203"/>
  <c r="K155" i="203" s="1"/>
  <c r="J157" i="203"/>
  <c r="K157" i="203" s="1"/>
  <c r="G108" i="203"/>
  <c r="I111" i="203"/>
  <c r="G132" i="203"/>
  <c r="G145" i="203"/>
  <c r="G56" i="203"/>
  <c r="G82" i="203"/>
  <c r="G98" i="203"/>
  <c r="G101" i="203"/>
  <c r="H132" i="203"/>
  <c r="G140" i="203"/>
  <c r="J145" i="203"/>
  <c r="K145" i="203" s="1"/>
  <c r="H34" i="203"/>
  <c r="N37" i="203"/>
  <c r="O37" i="203" s="1"/>
  <c r="H54" i="203"/>
  <c r="P54" i="203" s="1"/>
  <c r="Q54" i="203" s="1"/>
  <c r="H57" i="203"/>
  <c r="L66" i="203"/>
  <c r="M66" i="203" s="1"/>
  <c r="H69" i="203"/>
  <c r="J82" i="203"/>
  <c r="K82" i="203" s="1"/>
  <c r="H85" i="203"/>
  <c r="I85" i="203" s="1"/>
  <c r="L98" i="203"/>
  <c r="M98" i="203" s="1"/>
  <c r="G126" i="203"/>
  <c r="J129" i="203"/>
  <c r="K129" i="203" s="1"/>
  <c r="L134" i="203"/>
  <c r="M134" i="203" s="1"/>
  <c r="L140" i="203"/>
  <c r="M140" i="203" s="1"/>
  <c r="N38" i="203"/>
  <c r="O38" i="203" s="1"/>
  <c r="L51" i="203"/>
  <c r="M51" i="203" s="1"/>
  <c r="L59" i="203"/>
  <c r="M59" i="203" s="1"/>
  <c r="G62" i="203"/>
  <c r="L69" i="203"/>
  <c r="M69" i="203" s="1"/>
  <c r="J77" i="203"/>
  <c r="K77" i="203" s="1"/>
  <c r="G94" i="203"/>
  <c r="G97" i="203"/>
  <c r="J103" i="203"/>
  <c r="K103" i="203" s="1"/>
  <c r="G110" i="203"/>
  <c r="I117" i="203"/>
  <c r="G121" i="203"/>
  <c r="L138" i="203"/>
  <c r="M138" i="203" s="1"/>
  <c r="H144" i="203"/>
  <c r="P144" i="203" s="1"/>
  <c r="Q144" i="203" s="1"/>
  <c r="I146" i="203"/>
  <c r="G150" i="203"/>
  <c r="H152" i="203"/>
  <c r="P152" i="203" s="1"/>
  <c r="Q152" i="203" s="1"/>
  <c r="G156" i="203"/>
  <c r="H158" i="203"/>
  <c r="P158" i="203" s="1"/>
  <c r="Q158" i="203" s="1"/>
  <c r="I106" i="203"/>
  <c r="J118" i="203"/>
  <c r="K118" i="203" s="1"/>
  <c r="L132" i="203"/>
  <c r="M132" i="203" s="1"/>
  <c r="J138" i="203"/>
  <c r="K138" i="203" s="1"/>
  <c r="N140" i="203"/>
  <c r="O140" i="203" s="1"/>
  <c r="N155" i="203"/>
  <c r="O155" i="203" s="1"/>
  <c r="H38" i="203"/>
  <c r="P38" i="203" s="1"/>
  <c r="Q38" i="203" s="1"/>
  <c r="J51" i="203"/>
  <c r="K51" i="203" s="1"/>
  <c r="J59" i="203"/>
  <c r="K59" i="203" s="1"/>
  <c r="G77" i="203"/>
  <c r="L82" i="203"/>
  <c r="M82" i="203" s="1"/>
  <c r="N98" i="203"/>
  <c r="O98" i="203" s="1"/>
  <c r="L118" i="203"/>
  <c r="M118" i="203" s="1"/>
  <c r="I126" i="203"/>
  <c r="N129" i="203"/>
  <c r="O129" i="203" s="1"/>
  <c r="N134" i="203"/>
  <c r="O134" i="203" s="1"/>
  <c r="G144" i="203"/>
  <c r="G152" i="203"/>
  <c r="G158" i="203"/>
  <c r="N51" i="203"/>
  <c r="O51" i="203" s="1"/>
  <c r="H97" i="203"/>
  <c r="P97" i="203" s="1"/>
  <c r="Q97" i="203" s="1"/>
  <c r="H121" i="203"/>
  <c r="J144" i="203"/>
  <c r="K144" i="203" s="1"/>
  <c r="H150" i="203"/>
  <c r="P150" i="203" s="1"/>
  <c r="Q150" i="203" s="1"/>
  <c r="L152" i="203"/>
  <c r="M152" i="203" s="1"/>
  <c r="H156" i="203"/>
  <c r="L158" i="203"/>
  <c r="M158" i="203" s="1"/>
  <c r="G72" i="203"/>
  <c r="G78" i="203"/>
  <c r="J97" i="203"/>
  <c r="K97" i="203" s="1"/>
  <c r="L103" i="203"/>
  <c r="M103" i="203" s="1"/>
  <c r="N158" i="203"/>
  <c r="O158" i="203" s="1"/>
  <c r="P128" i="203"/>
  <c r="Q128" i="203" s="1"/>
  <c r="I128" i="203"/>
  <c r="L137" i="203"/>
  <c r="M137" i="203" s="1"/>
  <c r="N137" i="203"/>
  <c r="O137" i="203" s="1"/>
  <c r="J137" i="203"/>
  <c r="K137" i="203" s="1"/>
  <c r="H137" i="203"/>
  <c r="N30" i="203"/>
  <c r="O30" i="203" s="1"/>
  <c r="L30" i="203"/>
  <c r="M30" i="203" s="1"/>
  <c r="J30" i="203"/>
  <c r="K30" i="203" s="1"/>
  <c r="H30" i="203"/>
  <c r="J61" i="203"/>
  <c r="K61" i="203" s="1"/>
  <c r="G61" i="203"/>
  <c r="N61" i="203"/>
  <c r="O61" i="203" s="1"/>
  <c r="L61" i="203"/>
  <c r="M61" i="203" s="1"/>
  <c r="H61" i="203"/>
  <c r="I68" i="203"/>
  <c r="L81" i="203"/>
  <c r="M81" i="203" s="1"/>
  <c r="N81" i="203"/>
  <c r="O81" i="203" s="1"/>
  <c r="H96" i="203"/>
  <c r="N96" i="203"/>
  <c r="O96" i="203" s="1"/>
  <c r="L96" i="203"/>
  <c r="M96" i="203" s="1"/>
  <c r="J96" i="203"/>
  <c r="K96" i="203" s="1"/>
  <c r="G96" i="203"/>
  <c r="L135" i="203"/>
  <c r="M135" i="203" s="1"/>
  <c r="H135" i="203"/>
  <c r="N135" i="203"/>
  <c r="O135" i="203" s="1"/>
  <c r="J135" i="203"/>
  <c r="K135" i="203" s="1"/>
  <c r="I152" i="203"/>
  <c r="G30" i="203"/>
  <c r="L35" i="203"/>
  <c r="M35" i="203" s="1"/>
  <c r="N35" i="203"/>
  <c r="O35" i="203" s="1"/>
  <c r="J35" i="203"/>
  <c r="K35" i="203" s="1"/>
  <c r="H35" i="203"/>
  <c r="L53" i="203"/>
  <c r="M53" i="203" s="1"/>
  <c r="N53" i="203"/>
  <c r="O53" i="203" s="1"/>
  <c r="J53" i="203"/>
  <c r="K53" i="203" s="1"/>
  <c r="H53" i="203"/>
  <c r="G81" i="203"/>
  <c r="G135" i="203"/>
  <c r="L147" i="203"/>
  <c r="M147" i="203" s="1"/>
  <c r="H147" i="203"/>
  <c r="N147" i="203"/>
  <c r="O147" i="203" s="1"/>
  <c r="J147" i="203"/>
  <c r="K147" i="203" s="1"/>
  <c r="P149" i="203"/>
  <c r="Q149" i="203" s="1"/>
  <c r="I149" i="203"/>
  <c r="I32" i="203"/>
  <c r="J128" i="203"/>
  <c r="K128" i="203" s="1"/>
  <c r="N128" i="203"/>
  <c r="O128" i="203" s="1"/>
  <c r="L128" i="203"/>
  <c r="M128" i="203" s="1"/>
  <c r="I78" i="203"/>
  <c r="P121" i="203"/>
  <c r="Q121" i="203" s="1"/>
  <c r="I121" i="203"/>
  <c r="G128" i="203"/>
  <c r="N31" i="203"/>
  <c r="O31" i="203" s="1"/>
  <c r="L31" i="203"/>
  <c r="M31" i="203" s="1"/>
  <c r="J31" i="203"/>
  <c r="K31" i="203" s="1"/>
  <c r="G35" i="203"/>
  <c r="G53" i="203"/>
  <c r="I72" i="203"/>
  <c r="P72" i="203"/>
  <c r="Q72" i="203" s="1"/>
  <c r="H81" i="203"/>
  <c r="N102" i="203"/>
  <c r="O102" i="203" s="1"/>
  <c r="L102" i="203"/>
  <c r="M102" i="203" s="1"/>
  <c r="J102" i="203"/>
  <c r="K102" i="203" s="1"/>
  <c r="G147" i="203"/>
  <c r="P51" i="203"/>
  <c r="Q51" i="203" s="1"/>
  <c r="I51" i="203"/>
  <c r="I31" i="203"/>
  <c r="P103" i="203"/>
  <c r="Q103" i="203" s="1"/>
  <c r="I103" i="203"/>
  <c r="N154" i="203"/>
  <c r="O154" i="203" s="1"/>
  <c r="J154" i="203"/>
  <c r="K154" i="203" s="1"/>
  <c r="L154" i="203"/>
  <c r="M154" i="203" s="1"/>
  <c r="P57" i="203"/>
  <c r="Q57" i="203" s="1"/>
  <c r="I57" i="203"/>
  <c r="N67" i="203"/>
  <c r="O67" i="203" s="1"/>
  <c r="L67" i="203"/>
  <c r="M67" i="203" s="1"/>
  <c r="J67" i="203"/>
  <c r="K67" i="203" s="1"/>
  <c r="H67" i="203"/>
  <c r="G67" i="203"/>
  <c r="J93" i="203"/>
  <c r="K93" i="203" s="1"/>
  <c r="G93" i="203"/>
  <c r="N93" i="203"/>
  <c r="O93" i="203" s="1"/>
  <c r="L93" i="203"/>
  <c r="M93" i="203" s="1"/>
  <c r="N114" i="203"/>
  <c r="O114" i="203" s="1"/>
  <c r="L114" i="203"/>
  <c r="M114" i="203" s="1"/>
  <c r="J114" i="203"/>
  <c r="K114" i="203" s="1"/>
  <c r="H114" i="203"/>
  <c r="L75" i="203"/>
  <c r="M75" i="203" s="1"/>
  <c r="N75" i="203"/>
  <c r="O75" i="203" s="1"/>
  <c r="J75" i="203"/>
  <c r="K75" i="203" s="1"/>
  <c r="H75" i="203"/>
  <c r="H93" i="203"/>
  <c r="G114" i="203"/>
  <c r="L123" i="203"/>
  <c r="M123" i="203" s="1"/>
  <c r="J123" i="203"/>
  <c r="K123" i="203" s="1"/>
  <c r="G123" i="203"/>
  <c r="N123" i="203"/>
  <c r="O123" i="203" s="1"/>
  <c r="N130" i="203"/>
  <c r="O130" i="203" s="1"/>
  <c r="J130" i="203"/>
  <c r="K130" i="203" s="1"/>
  <c r="G130" i="203"/>
  <c r="L130" i="203"/>
  <c r="M130" i="203" s="1"/>
  <c r="G137" i="203"/>
  <c r="P34" i="203"/>
  <c r="Q34" i="203" s="1"/>
  <c r="I34" i="203"/>
  <c r="P37" i="203"/>
  <c r="Q37" i="203" s="1"/>
  <c r="I37" i="203"/>
  <c r="N64" i="203"/>
  <c r="O64" i="203" s="1"/>
  <c r="J64" i="203"/>
  <c r="K64" i="203" s="1"/>
  <c r="L64" i="203"/>
  <c r="M64" i="203" s="1"/>
  <c r="H64" i="203"/>
  <c r="G64" i="203"/>
  <c r="G75" i="203"/>
  <c r="H123" i="203"/>
  <c r="H130" i="203"/>
  <c r="P33" i="203"/>
  <c r="Q33" i="203" s="1"/>
  <c r="I33" i="203"/>
  <c r="N90" i="203"/>
  <c r="O90" i="203" s="1"/>
  <c r="L90" i="203"/>
  <c r="M90" i="203" s="1"/>
  <c r="J90" i="203"/>
  <c r="K90" i="203" s="1"/>
  <c r="P102" i="203"/>
  <c r="Q102" i="203" s="1"/>
  <c r="I102" i="203"/>
  <c r="I36" i="203"/>
  <c r="H84" i="203"/>
  <c r="N84" i="203"/>
  <c r="O84" i="203" s="1"/>
  <c r="L84" i="203"/>
  <c r="M84" i="203" s="1"/>
  <c r="J84" i="203"/>
  <c r="K84" i="203" s="1"/>
  <c r="H90" i="203"/>
  <c r="P100" i="203"/>
  <c r="Q100" i="203" s="1"/>
  <c r="I100" i="203"/>
  <c r="H105" i="203"/>
  <c r="G105" i="203"/>
  <c r="N105" i="203"/>
  <c r="O105" i="203" s="1"/>
  <c r="L105" i="203"/>
  <c r="M105" i="203" s="1"/>
  <c r="I125" i="203"/>
  <c r="G154" i="203"/>
  <c r="I97" i="203"/>
  <c r="P116" i="203"/>
  <c r="Q116" i="203" s="1"/>
  <c r="N116" i="203"/>
  <c r="O116" i="203" s="1"/>
  <c r="J116" i="203"/>
  <c r="K116" i="203" s="1"/>
  <c r="L116" i="203"/>
  <c r="M116" i="203" s="1"/>
  <c r="H116" i="203"/>
  <c r="I116" i="203" s="1"/>
  <c r="G116" i="203"/>
  <c r="I58" i="203"/>
  <c r="H99" i="203"/>
  <c r="G99" i="203"/>
  <c r="N99" i="203"/>
  <c r="O99" i="203" s="1"/>
  <c r="L99" i="203"/>
  <c r="M99" i="203" s="1"/>
  <c r="J99" i="203"/>
  <c r="K99" i="203" s="1"/>
  <c r="N39" i="203"/>
  <c r="O39" i="203" s="1"/>
  <c r="L39" i="203"/>
  <c r="M39" i="203" s="1"/>
  <c r="J39" i="203"/>
  <c r="K39" i="203" s="1"/>
  <c r="H39" i="203"/>
  <c r="J87" i="203"/>
  <c r="K87" i="203" s="1"/>
  <c r="G87" i="203"/>
  <c r="N87" i="203"/>
  <c r="O87" i="203" s="1"/>
  <c r="L87" i="203"/>
  <c r="M87" i="203" s="1"/>
  <c r="H87" i="203"/>
  <c r="P109" i="203"/>
  <c r="Q109" i="203" s="1"/>
  <c r="I109" i="203"/>
  <c r="L149" i="203"/>
  <c r="M149" i="203" s="1"/>
  <c r="J149" i="203"/>
  <c r="K149" i="203" s="1"/>
  <c r="G149" i="203"/>
  <c r="N149" i="203"/>
  <c r="O149" i="203" s="1"/>
  <c r="H154" i="203"/>
  <c r="H71" i="203"/>
  <c r="G71" i="203"/>
  <c r="H108" i="203"/>
  <c r="L108" i="203"/>
  <c r="M108" i="203" s="1"/>
  <c r="J108" i="203"/>
  <c r="K108" i="203" s="1"/>
  <c r="H120" i="203"/>
  <c r="N120" i="203"/>
  <c r="O120" i="203" s="1"/>
  <c r="P156" i="203"/>
  <c r="Q156" i="203" s="1"/>
  <c r="I156" i="203"/>
  <c r="J80" i="203"/>
  <c r="K80" i="203" s="1"/>
  <c r="G80" i="203"/>
  <c r="H92" i="203"/>
  <c r="G92" i="203"/>
  <c r="H151" i="203"/>
  <c r="N151" i="203"/>
  <c r="O151" i="203" s="1"/>
  <c r="G34" i="203"/>
  <c r="G38" i="203"/>
  <c r="G52" i="203"/>
  <c r="H56" i="203"/>
  <c r="J71" i="203"/>
  <c r="K71" i="203" s="1"/>
  <c r="L74" i="203"/>
  <c r="M74" i="203" s="1"/>
  <c r="J74" i="203"/>
  <c r="K74" i="203" s="1"/>
  <c r="H74" i="203"/>
  <c r="H77" i="203"/>
  <c r="H80" i="203"/>
  <c r="G89" i="203"/>
  <c r="J110" i="203"/>
  <c r="K110" i="203" s="1"/>
  <c r="N110" i="203"/>
  <c r="O110" i="203" s="1"/>
  <c r="J120" i="203"/>
  <c r="K120" i="203" s="1"/>
  <c r="G139" i="203"/>
  <c r="I144" i="203"/>
  <c r="N148" i="203"/>
  <c r="O148" i="203" s="1"/>
  <c r="J148" i="203"/>
  <c r="K148" i="203" s="1"/>
  <c r="G151" i="203"/>
  <c r="G95" i="203"/>
  <c r="L95" i="203"/>
  <c r="M95" i="203" s="1"/>
  <c r="J95" i="203"/>
  <c r="K95" i="203" s="1"/>
  <c r="G33" i="203"/>
  <c r="J34" i="203"/>
  <c r="K34" i="203" s="1"/>
  <c r="G37" i="203"/>
  <c r="J38" i="203"/>
  <c r="K38" i="203" s="1"/>
  <c r="G51" i="203"/>
  <c r="J52" i="203"/>
  <c r="K52" i="203" s="1"/>
  <c r="G55" i="203"/>
  <c r="L56" i="203"/>
  <c r="M56" i="203" s="1"/>
  <c r="H59" i="203"/>
  <c r="G59" i="203"/>
  <c r="H63" i="203"/>
  <c r="H66" i="203"/>
  <c r="N71" i="203"/>
  <c r="O71" i="203" s="1"/>
  <c r="L76" i="203"/>
  <c r="M76" i="203" s="1"/>
  <c r="N76" i="203"/>
  <c r="O76" i="203" s="1"/>
  <c r="H79" i="203"/>
  <c r="G79" i="203"/>
  <c r="J89" i="203"/>
  <c r="K89" i="203" s="1"/>
  <c r="L92" i="203"/>
  <c r="M92" i="203" s="1"/>
  <c r="H95" i="203"/>
  <c r="J101" i="203"/>
  <c r="K101" i="203" s="1"/>
  <c r="G103" i="203"/>
  <c r="G107" i="203"/>
  <c r="J107" i="203"/>
  <c r="K107" i="203" s="1"/>
  <c r="H107" i="203"/>
  <c r="I110" i="203"/>
  <c r="I124" i="203"/>
  <c r="I129" i="203"/>
  <c r="H131" i="203"/>
  <c r="L139" i="203"/>
  <c r="M139" i="203" s="1"/>
  <c r="L141" i="203"/>
  <c r="M141" i="203" s="1"/>
  <c r="H141" i="203"/>
  <c r="L143" i="203"/>
  <c r="M143" i="203" s="1"/>
  <c r="J143" i="203"/>
  <c r="K143" i="203" s="1"/>
  <c r="H143" i="203"/>
  <c r="I148" i="203"/>
  <c r="L151" i="203"/>
  <c r="M151" i="203" s="1"/>
  <c r="G83" i="203"/>
  <c r="N83" i="203"/>
  <c r="O83" i="203" s="1"/>
  <c r="L83" i="203"/>
  <c r="M83" i="203" s="1"/>
  <c r="J86" i="203"/>
  <c r="K86" i="203" s="1"/>
  <c r="H86" i="203"/>
  <c r="G86" i="203"/>
  <c r="J113" i="203"/>
  <c r="K113" i="203" s="1"/>
  <c r="G113" i="203"/>
  <c r="H127" i="203"/>
  <c r="L127" i="203"/>
  <c r="M127" i="203" s="1"/>
  <c r="G127" i="203"/>
  <c r="I38" i="203"/>
  <c r="I52" i="203"/>
  <c r="J56" i="203"/>
  <c r="K56" i="203" s="1"/>
  <c r="G63" i="203"/>
  <c r="G66" i="203"/>
  <c r="L80" i="203"/>
  <c r="M80" i="203" s="1"/>
  <c r="H83" i="203"/>
  <c r="I89" i="203"/>
  <c r="P101" i="203"/>
  <c r="Q101" i="203" s="1"/>
  <c r="I101" i="203"/>
  <c r="H113" i="203"/>
  <c r="J127" i="203"/>
  <c r="K127" i="203" s="1"/>
  <c r="G131" i="203"/>
  <c r="L153" i="203"/>
  <c r="M153" i="203" s="1"/>
  <c r="H153" i="203"/>
  <c r="N153" i="203"/>
  <c r="O153" i="203" s="1"/>
  <c r="H55" i="203"/>
  <c r="J63" i="203"/>
  <c r="K63" i="203" s="1"/>
  <c r="J73" i="203"/>
  <c r="K73" i="203" s="1"/>
  <c r="G73" i="203"/>
  <c r="N74" i="203"/>
  <c r="O74" i="203" s="1"/>
  <c r="G76" i="203"/>
  <c r="L77" i="203"/>
  <c r="M77" i="203" s="1"/>
  <c r="N80" i="203"/>
  <c r="O80" i="203" s="1"/>
  <c r="J83" i="203"/>
  <c r="K83" i="203" s="1"/>
  <c r="L86" i="203"/>
  <c r="M86" i="203" s="1"/>
  <c r="L89" i="203"/>
  <c r="M89" i="203" s="1"/>
  <c r="N101" i="203"/>
  <c r="O101" i="203" s="1"/>
  <c r="L113" i="203"/>
  <c r="M113" i="203" s="1"/>
  <c r="G115" i="203"/>
  <c r="J121" i="203"/>
  <c r="K121" i="203" s="1"/>
  <c r="N121" i="203"/>
  <c r="O121" i="203" s="1"/>
  <c r="J124" i="203"/>
  <c r="K124" i="203" s="1"/>
  <c r="N127" i="203"/>
  <c r="O127" i="203" s="1"/>
  <c r="I136" i="203"/>
  <c r="G141" i="203"/>
  <c r="G143" i="203"/>
  <c r="J153" i="203"/>
  <c r="K153" i="203" s="1"/>
  <c r="H157" i="203"/>
  <c r="N157" i="203"/>
  <c r="O157" i="203" s="1"/>
  <c r="L62" i="203"/>
  <c r="M62" i="203" s="1"/>
  <c r="J62" i="203"/>
  <c r="K62" i="203" s="1"/>
  <c r="H62" i="203"/>
  <c r="N63" i="203"/>
  <c r="O63" i="203" s="1"/>
  <c r="N65" i="203"/>
  <c r="O65" i="203" s="1"/>
  <c r="L65" i="203"/>
  <c r="M65" i="203" s="1"/>
  <c r="N92" i="203"/>
  <c r="O92" i="203" s="1"/>
  <c r="L100" i="203"/>
  <c r="M100" i="203" s="1"/>
  <c r="J100" i="203"/>
  <c r="K100" i="203" s="1"/>
  <c r="G100" i="203"/>
  <c r="N109" i="203"/>
  <c r="O109" i="203" s="1"/>
  <c r="L109" i="203"/>
  <c r="M109" i="203" s="1"/>
  <c r="L110" i="203"/>
  <c r="M110" i="203" s="1"/>
  <c r="L112" i="203"/>
  <c r="M112" i="203" s="1"/>
  <c r="H112" i="203"/>
  <c r="G112" i="203"/>
  <c r="N113" i="203"/>
  <c r="O113" i="203" s="1"/>
  <c r="L124" i="203"/>
  <c r="M124" i="203" s="1"/>
  <c r="J131" i="203"/>
  <c r="K131" i="203" s="1"/>
  <c r="N139" i="203"/>
  <c r="O139" i="203" s="1"/>
  <c r="P145" i="203"/>
  <c r="Q145" i="203" s="1"/>
  <c r="I145" i="203"/>
  <c r="L148" i="203"/>
  <c r="M148" i="203" s="1"/>
  <c r="N159" i="203"/>
  <c r="O159" i="203" s="1"/>
  <c r="H159" i="203"/>
  <c r="L159" i="203"/>
  <c r="M159" i="203" s="1"/>
  <c r="J159" i="203"/>
  <c r="K159" i="203" s="1"/>
  <c r="G159" i="203"/>
  <c r="H119" i="203"/>
  <c r="G119" i="203"/>
  <c r="J119" i="203"/>
  <c r="K119" i="203" s="1"/>
  <c r="N136" i="203"/>
  <c r="O136" i="203" s="1"/>
  <c r="J136" i="203"/>
  <c r="K136" i="203" s="1"/>
  <c r="H155" i="203"/>
  <c r="L27" i="203"/>
  <c r="M27" i="203" s="1"/>
  <c r="P122" i="203"/>
  <c r="Q122" i="203" s="1"/>
  <c r="J122" i="203"/>
  <c r="K122" i="203" s="1"/>
  <c r="P133" i="203"/>
  <c r="Q133" i="203" s="1"/>
  <c r="I133" i="203"/>
  <c r="N142" i="203"/>
  <c r="O142" i="203" s="1"/>
  <c r="J142" i="203"/>
  <c r="K142" i="203" s="1"/>
  <c r="P27" i="203"/>
  <c r="Q27" i="203" s="1"/>
  <c r="G27" i="203"/>
  <c r="H27" i="203"/>
  <c r="I27" i="203" s="1"/>
  <c r="I132" i="204" l="1"/>
  <c r="P132" i="204"/>
  <c r="Q132" i="204" s="1"/>
  <c r="P136" i="204"/>
  <c r="Q136" i="204" s="1"/>
  <c r="I96" i="204"/>
  <c r="P96" i="204"/>
  <c r="Q96" i="204" s="1"/>
  <c r="I98" i="204"/>
  <c r="P98" i="204"/>
  <c r="Q98" i="204" s="1"/>
  <c r="K160" i="204"/>
  <c r="P126" i="204"/>
  <c r="Q126" i="204" s="1"/>
  <c r="I148" i="204"/>
  <c r="P148" i="204"/>
  <c r="Q148" i="204" s="1"/>
  <c r="I119" i="204"/>
  <c r="P119" i="204"/>
  <c r="Q119" i="204" s="1"/>
  <c r="I69" i="204"/>
  <c r="P69" i="204"/>
  <c r="Q69" i="204" s="1"/>
  <c r="P56" i="204"/>
  <c r="Q56" i="204" s="1"/>
  <c r="I56" i="204"/>
  <c r="I117" i="204"/>
  <c r="P117" i="204"/>
  <c r="Q117" i="204" s="1"/>
  <c r="I97" i="204"/>
  <c r="P97" i="204"/>
  <c r="Q97" i="204" s="1"/>
  <c r="I50" i="204"/>
  <c r="P50" i="204"/>
  <c r="Q50" i="204" s="1"/>
  <c r="I142" i="204"/>
  <c r="P142" i="204"/>
  <c r="Q142" i="204" s="1"/>
  <c r="I93" i="204"/>
  <c r="P93" i="204"/>
  <c r="Q93" i="204" s="1"/>
  <c r="I102" i="204"/>
  <c r="P102" i="204"/>
  <c r="Q102" i="204" s="1"/>
  <c r="I95" i="204"/>
  <c r="P95" i="204"/>
  <c r="Q95" i="204" s="1"/>
  <c r="I133" i="204"/>
  <c r="P133" i="204"/>
  <c r="Q133" i="204" s="1"/>
  <c r="I143" i="204"/>
  <c r="P143" i="204"/>
  <c r="Q143" i="204" s="1"/>
  <c r="I113" i="204"/>
  <c r="P113" i="204"/>
  <c r="Q113" i="204" s="1"/>
  <c r="I63" i="204"/>
  <c r="P63" i="204"/>
  <c r="Q63" i="204" s="1"/>
  <c r="I111" i="204"/>
  <c r="P111" i="204"/>
  <c r="Q111" i="204" s="1"/>
  <c r="I158" i="204"/>
  <c r="P158" i="204"/>
  <c r="Q158" i="204" s="1"/>
  <c r="I88" i="204"/>
  <c r="P88" i="204"/>
  <c r="Q88" i="204" s="1"/>
  <c r="I157" i="204"/>
  <c r="P157" i="204"/>
  <c r="Q157" i="204" s="1"/>
  <c r="I145" i="204"/>
  <c r="P145" i="204"/>
  <c r="Q145" i="204" s="1"/>
  <c r="I38" i="204"/>
  <c r="P38" i="204"/>
  <c r="Q38" i="204" s="1"/>
  <c r="I89" i="204"/>
  <c r="P89" i="204"/>
  <c r="Q89" i="204" s="1"/>
  <c r="I131" i="204"/>
  <c r="P131" i="204"/>
  <c r="Q131" i="204" s="1"/>
  <c r="I144" i="204"/>
  <c r="P144" i="204"/>
  <c r="Q144" i="204" s="1"/>
  <c r="I159" i="204"/>
  <c r="P159" i="204"/>
  <c r="Q159" i="204" s="1"/>
  <c r="I138" i="204"/>
  <c r="P138" i="204"/>
  <c r="Q138" i="204" s="1"/>
  <c r="O160" i="204"/>
  <c r="I152" i="204"/>
  <c r="P152" i="204"/>
  <c r="Q152" i="204" s="1"/>
  <c r="I124" i="204"/>
  <c r="P124" i="204"/>
  <c r="Q124" i="204" s="1"/>
  <c r="I153" i="204"/>
  <c r="P153" i="204"/>
  <c r="Q153" i="204" s="1"/>
  <c r="I141" i="204"/>
  <c r="P141" i="204"/>
  <c r="Q141" i="204" s="1"/>
  <c r="I127" i="204"/>
  <c r="P127" i="204"/>
  <c r="Q127" i="204" s="1"/>
  <c r="I150" i="204"/>
  <c r="P150" i="204"/>
  <c r="Q150" i="204" s="1"/>
  <c r="I106" i="204"/>
  <c r="P106" i="204"/>
  <c r="Q106" i="204" s="1"/>
  <c r="I77" i="204"/>
  <c r="P77" i="204"/>
  <c r="Q77" i="204" s="1"/>
  <c r="I146" i="204"/>
  <c r="P146" i="204"/>
  <c r="Q146" i="204" s="1"/>
  <c r="I112" i="204"/>
  <c r="P112" i="204"/>
  <c r="Q112" i="204" s="1"/>
  <c r="I60" i="204"/>
  <c r="P60" i="204"/>
  <c r="Q60" i="204" s="1"/>
  <c r="P74" i="204"/>
  <c r="Q74" i="204" s="1"/>
  <c r="I74" i="204"/>
  <c r="I151" i="204"/>
  <c r="P151" i="204"/>
  <c r="Q151" i="204" s="1"/>
  <c r="I139" i="204"/>
  <c r="P139" i="204"/>
  <c r="Q139" i="204" s="1"/>
  <c r="I156" i="204"/>
  <c r="P156" i="204"/>
  <c r="Q156" i="204" s="1"/>
  <c r="I85" i="204"/>
  <c r="P85" i="204"/>
  <c r="Q85" i="204" s="1"/>
  <c r="I94" i="204"/>
  <c r="P94" i="204"/>
  <c r="Q94" i="204" s="1"/>
  <c r="I66" i="204"/>
  <c r="P66" i="204"/>
  <c r="Q66" i="204" s="1"/>
  <c r="G160" i="204"/>
  <c r="P71" i="204"/>
  <c r="Q71" i="204" s="1"/>
  <c r="I71" i="204"/>
  <c r="I109" i="204"/>
  <c r="P109" i="204"/>
  <c r="Q109" i="204" s="1"/>
  <c r="P62" i="204"/>
  <c r="Q62" i="204" s="1"/>
  <c r="I62" i="204"/>
  <c r="I78" i="204"/>
  <c r="P78" i="204"/>
  <c r="Q78" i="204" s="1"/>
  <c r="I107" i="204"/>
  <c r="P107" i="204"/>
  <c r="Q107" i="204" s="1"/>
  <c r="I135" i="204"/>
  <c r="P135" i="204"/>
  <c r="Q135" i="204" s="1"/>
  <c r="I105" i="204"/>
  <c r="P105" i="204"/>
  <c r="Q105" i="204" s="1"/>
  <c r="I155" i="204"/>
  <c r="P155" i="204"/>
  <c r="Q155" i="204" s="1"/>
  <c r="I137" i="204"/>
  <c r="P137" i="204"/>
  <c r="Q137" i="204" s="1"/>
  <c r="I37" i="204"/>
  <c r="P37" i="204"/>
  <c r="Q37" i="204" s="1"/>
  <c r="I53" i="204"/>
  <c r="P53" i="204"/>
  <c r="Q53" i="204" s="1"/>
  <c r="P64" i="204"/>
  <c r="Q64" i="204" s="1"/>
  <c r="I64" i="204"/>
  <c r="I140" i="204"/>
  <c r="P140" i="204"/>
  <c r="Q140" i="204" s="1"/>
  <c r="I134" i="204"/>
  <c r="P134" i="204"/>
  <c r="Q134" i="204" s="1"/>
  <c r="P59" i="204"/>
  <c r="Q59" i="204" s="1"/>
  <c r="I59" i="204"/>
  <c r="I101" i="204"/>
  <c r="P101" i="204"/>
  <c r="Q101" i="204" s="1"/>
  <c r="I147" i="204"/>
  <c r="P147" i="204"/>
  <c r="Q147" i="204" s="1"/>
  <c r="I115" i="204"/>
  <c r="P115" i="204"/>
  <c r="Q115" i="204" s="1"/>
  <c r="I84" i="204"/>
  <c r="P84" i="204"/>
  <c r="Q84" i="204" s="1"/>
  <c r="I129" i="204"/>
  <c r="P129" i="204"/>
  <c r="Q129" i="204" s="1"/>
  <c r="I80" i="204"/>
  <c r="P80" i="204"/>
  <c r="Q80" i="204" s="1"/>
  <c r="I149" i="204"/>
  <c r="P149" i="204"/>
  <c r="Q149" i="204" s="1"/>
  <c r="I31" i="204"/>
  <c r="P31" i="204"/>
  <c r="Q31" i="204" s="1"/>
  <c r="I103" i="204"/>
  <c r="P103" i="204"/>
  <c r="Q103" i="204" s="1"/>
  <c r="I73" i="204"/>
  <c r="P73" i="204"/>
  <c r="Q73" i="204" s="1"/>
  <c r="I91" i="204"/>
  <c r="P91" i="204"/>
  <c r="Q91" i="204" s="1"/>
  <c r="I114" i="204"/>
  <c r="P114" i="204"/>
  <c r="Q114" i="204" s="1"/>
  <c r="I128" i="204"/>
  <c r="P128" i="204"/>
  <c r="Q128" i="204" s="1"/>
  <c r="I154" i="204"/>
  <c r="P154" i="204"/>
  <c r="Q154" i="204" s="1"/>
  <c r="I34" i="204"/>
  <c r="P34" i="204"/>
  <c r="Q34" i="204" s="1"/>
  <c r="I120" i="204"/>
  <c r="P120" i="204"/>
  <c r="Q120" i="204" s="1"/>
  <c r="I75" i="204"/>
  <c r="P75" i="204"/>
  <c r="Q75" i="204" s="1"/>
  <c r="M160" i="204"/>
  <c r="I86" i="204"/>
  <c r="P86" i="204"/>
  <c r="Q86" i="204" s="1"/>
  <c r="I92" i="204"/>
  <c r="P92" i="204"/>
  <c r="Q92" i="204" s="1"/>
  <c r="I72" i="204"/>
  <c r="P72" i="204"/>
  <c r="Q72" i="204" s="1"/>
  <c r="I121" i="204"/>
  <c r="P121" i="204"/>
  <c r="Q121" i="204" s="1"/>
  <c r="I61" i="204"/>
  <c r="P61" i="204"/>
  <c r="Q61" i="204" s="1"/>
  <c r="I125" i="204"/>
  <c r="P125" i="204"/>
  <c r="Q125" i="204" s="1"/>
  <c r="P68" i="204"/>
  <c r="Q68" i="204" s="1"/>
  <c r="I68" i="204"/>
  <c r="I82" i="204"/>
  <c r="P82" i="204"/>
  <c r="Q82" i="204" s="1"/>
  <c r="I123" i="204"/>
  <c r="P123" i="204"/>
  <c r="Q123" i="204" s="1"/>
  <c r="I50" i="203"/>
  <c r="P88" i="203"/>
  <c r="Q88" i="203" s="1"/>
  <c r="P142" i="203"/>
  <c r="Q142" i="203" s="1"/>
  <c r="I142" i="203"/>
  <c r="P115" i="203"/>
  <c r="Q115" i="203" s="1"/>
  <c r="I115" i="203"/>
  <c r="I139" i="203"/>
  <c r="P85" i="203"/>
  <c r="Q85" i="203" s="1"/>
  <c r="P69" i="203"/>
  <c r="Q69" i="203" s="1"/>
  <c r="I69" i="203"/>
  <c r="I134" i="203"/>
  <c r="I54" i="203"/>
  <c r="I60" i="203"/>
  <c r="P60" i="203"/>
  <c r="Q60" i="203" s="1"/>
  <c r="I150" i="203"/>
  <c r="P140" i="203"/>
  <c r="Q140" i="203" s="1"/>
  <c r="I140" i="203"/>
  <c r="P104" i="203"/>
  <c r="Q104" i="203" s="1"/>
  <c r="I104" i="203"/>
  <c r="I65" i="203"/>
  <c r="I70" i="203"/>
  <c r="P70" i="203"/>
  <c r="Q70" i="203" s="1"/>
  <c r="O160" i="203"/>
  <c r="I98" i="203"/>
  <c r="I158" i="203"/>
  <c r="P132" i="203"/>
  <c r="Q132" i="203" s="1"/>
  <c r="I132" i="203"/>
  <c r="P138" i="203"/>
  <c r="Q138" i="203" s="1"/>
  <c r="I138" i="203"/>
  <c r="P82" i="203"/>
  <c r="Q82" i="203" s="1"/>
  <c r="I82" i="203"/>
  <c r="P118" i="203"/>
  <c r="Q118" i="203" s="1"/>
  <c r="I118" i="203"/>
  <c r="P84" i="203"/>
  <c r="Q84" i="203" s="1"/>
  <c r="I84" i="203"/>
  <c r="P66" i="203"/>
  <c r="Q66" i="203" s="1"/>
  <c r="I66" i="203"/>
  <c r="P99" i="203"/>
  <c r="Q99" i="203" s="1"/>
  <c r="I99" i="203"/>
  <c r="P112" i="203"/>
  <c r="Q112" i="203" s="1"/>
  <c r="I112" i="203"/>
  <c r="P127" i="203"/>
  <c r="Q127" i="203" s="1"/>
  <c r="I127" i="203"/>
  <c r="I63" i="203"/>
  <c r="P63" i="203"/>
  <c r="Q63" i="203" s="1"/>
  <c r="P108" i="203"/>
  <c r="Q108" i="203" s="1"/>
  <c r="I108" i="203"/>
  <c r="P77" i="203"/>
  <c r="Q77" i="203" s="1"/>
  <c r="I77" i="203"/>
  <c r="P96" i="203"/>
  <c r="Q96" i="203" s="1"/>
  <c r="I96" i="203"/>
  <c r="I74" i="203"/>
  <c r="P74" i="203"/>
  <c r="Q74" i="203" s="1"/>
  <c r="P71" i="203"/>
  <c r="Q71" i="203" s="1"/>
  <c r="I71" i="203"/>
  <c r="P105" i="203"/>
  <c r="Q105" i="203" s="1"/>
  <c r="I105" i="203"/>
  <c r="P114" i="203"/>
  <c r="Q114" i="203" s="1"/>
  <c r="I114" i="203"/>
  <c r="P143" i="203"/>
  <c r="Q143" i="203" s="1"/>
  <c r="I143" i="203"/>
  <c r="M160" i="203"/>
  <c r="P55" i="203"/>
  <c r="Q55" i="203" s="1"/>
  <c r="I55" i="203"/>
  <c r="P83" i="203"/>
  <c r="Q83" i="203" s="1"/>
  <c r="I83" i="203"/>
  <c r="P95" i="203"/>
  <c r="Q95" i="203" s="1"/>
  <c r="I95" i="203"/>
  <c r="P92" i="203"/>
  <c r="Q92" i="203" s="1"/>
  <c r="I92" i="203"/>
  <c r="P154" i="203"/>
  <c r="Q154" i="203" s="1"/>
  <c r="I154" i="203"/>
  <c r="P39" i="203"/>
  <c r="Q39" i="203" s="1"/>
  <c r="I39" i="203"/>
  <c r="P64" i="203"/>
  <c r="Q64" i="203" s="1"/>
  <c r="I64" i="203"/>
  <c r="P147" i="203"/>
  <c r="Q147" i="203" s="1"/>
  <c r="I147" i="203"/>
  <c r="P137" i="203"/>
  <c r="Q137" i="203" s="1"/>
  <c r="I137" i="203"/>
  <c r="P119" i="203"/>
  <c r="Q119" i="203" s="1"/>
  <c r="I119" i="203"/>
  <c r="P87" i="203"/>
  <c r="Q87" i="203" s="1"/>
  <c r="I87" i="203"/>
  <c r="P151" i="203"/>
  <c r="Q151" i="203" s="1"/>
  <c r="I151" i="203"/>
  <c r="P67" i="203"/>
  <c r="Q67" i="203" s="1"/>
  <c r="I67" i="203"/>
  <c r="P30" i="203"/>
  <c r="Q30" i="203" s="1"/>
  <c r="I30" i="203"/>
  <c r="P62" i="203"/>
  <c r="Q62" i="203" s="1"/>
  <c r="I62" i="203"/>
  <c r="P80" i="203"/>
  <c r="Q80" i="203" s="1"/>
  <c r="I80" i="203"/>
  <c r="P159" i="203"/>
  <c r="Q159" i="203" s="1"/>
  <c r="I159" i="203"/>
  <c r="P141" i="203"/>
  <c r="Q141" i="203" s="1"/>
  <c r="I141" i="203"/>
  <c r="I59" i="203"/>
  <c r="P59" i="203"/>
  <c r="Q59" i="203" s="1"/>
  <c r="P155" i="203"/>
  <c r="Q155" i="203" s="1"/>
  <c r="I155" i="203"/>
  <c r="P157" i="203"/>
  <c r="Q157" i="203" s="1"/>
  <c r="I157" i="203"/>
  <c r="P86" i="203"/>
  <c r="Q86" i="203" s="1"/>
  <c r="I86" i="203"/>
  <c r="P153" i="203"/>
  <c r="Q153" i="203" s="1"/>
  <c r="I153" i="203"/>
  <c r="P131" i="203"/>
  <c r="Q131" i="203" s="1"/>
  <c r="I131" i="203"/>
  <c r="P90" i="203"/>
  <c r="Q90" i="203" s="1"/>
  <c r="I90" i="203"/>
  <c r="P81" i="203"/>
  <c r="Q81" i="203" s="1"/>
  <c r="I81" i="203"/>
  <c r="I61" i="203"/>
  <c r="P61" i="203"/>
  <c r="Q61" i="203" s="1"/>
  <c r="P107" i="203"/>
  <c r="Q107" i="203" s="1"/>
  <c r="I107" i="203"/>
  <c r="P120" i="203"/>
  <c r="Q120" i="203" s="1"/>
  <c r="I120" i="203"/>
  <c r="P75" i="203"/>
  <c r="Q75" i="203" s="1"/>
  <c r="Q160" i="203" s="1"/>
  <c r="I75" i="203"/>
  <c r="I56" i="203"/>
  <c r="P56" i="203"/>
  <c r="Q56" i="203" s="1"/>
  <c r="P123" i="203"/>
  <c r="Q123" i="203" s="1"/>
  <c r="I123" i="203"/>
  <c r="P93" i="203"/>
  <c r="Q93" i="203" s="1"/>
  <c r="I93" i="203"/>
  <c r="P113" i="203"/>
  <c r="Q113" i="203" s="1"/>
  <c r="I113" i="203"/>
  <c r="P35" i="203"/>
  <c r="Q35" i="203" s="1"/>
  <c r="I35" i="203"/>
  <c r="I160" i="203"/>
  <c r="G160" i="203"/>
  <c r="P79" i="203"/>
  <c r="Q79" i="203" s="1"/>
  <c r="I79" i="203"/>
  <c r="P130" i="203"/>
  <c r="Q130" i="203" s="1"/>
  <c r="I130" i="203"/>
  <c r="P53" i="203"/>
  <c r="Q53" i="203" s="1"/>
  <c r="I53" i="203"/>
  <c r="P135" i="203"/>
  <c r="Q135" i="203" s="1"/>
  <c r="I135" i="203"/>
  <c r="I160" i="204" l="1"/>
  <c r="Q160" i="204"/>
</calcChain>
</file>

<file path=xl/sharedStrings.xml><?xml version="1.0" encoding="utf-8"?>
<sst xmlns="http://schemas.openxmlformats.org/spreadsheetml/2006/main" count="12659" uniqueCount="4145">
  <si>
    <t>SPECIFICATIONS</t>
  </si>
  <si>
    <t xml:space="preserve">Type: </t>
  </si>
  <si>
    <t>Printer/Copier/Scanner/Fax</t>
  </si>
  <si>
    <t>Imaging System:</t>
  </si>
  <si>
    <t>Electrostatic Laser copy; tandem, indirect</t>
  </si>
  <si>
    <t>Scanning System:</t>
  </si>
  <si>
    <t>B&amp;W or Full Color</t>
  </si>
  <si>
    <t xml:space="preserve">Monthly Duty Cycle: </t>
  </si>
  <si>
    <t>Output Speed:</t>
  </si>
  <si>
    <t>42 ppm Ltr</t>
  </si>
  <si>
    <t>Image Resolution:</t>
  </si>
  <si>
    <t>1200 x 1200 dpi</t>
  </si>
  <si>
    <t>Warm-Up Time/First Copy:</t>
  </si>
  <si>
    <t>27 sec. or less /9.2 sec. or less</t>
  </si>
  <si>
    <t>Magnification:</t>
  </si>
  <si>
    <t xml:space="preserve">25 - 400%, 1% increments; </t>
  </si>
  <si>
    <t>Standard Paper Supply:</t>
  </si>
  <si>
    <t>250 Sheet Tray w/50 sheet Bypass tray</t>
  </si>
  <si>
    <t>Min/Max Output Size:</t>
  </si>
  <si>
    <t xml:space="preserve"> 3 X 5 to 8 1/2 X 14</t>
  </si>
  <si>
    <t>Maximum Paper Cap.:</t>
  </si>
  <si>
    <t>1340 Sheets</t>
  </si>
  <si>
    <t>Memory:</t>
  </si>
  <si>
    <t>256 MB</t>
  </si>
  <si>
    <t>Power Requirements:</t>
  </si>
  <si>
    <t>120 V / 60 Hz</t>
  </si>
  <si>
    <t>Dimensions:</t>
  </si>
  <si>
    <t>17.1" (W) x 16.8" (D) x 19.1" (H)</t>
  </si>
  <si>
    <t>Weight:</t>
  </si>
  <si>
    <t>37 lbs.</t>
  </si>
  <si>
    <t>MAINTENANCE</t>
  </si>
  <si>
    <t>MAINTENANCE OPTION - 7</t>
  </si>
  <si>
    <t>MAINTENANCE OPTION - 7a</t>
  </si>
  <si>
    <t>Lease Option Maintenance:</t>
  </si>
  <si>
    <t>Not Included</t>
  </si>
  <si>
    <t>Included</t>
  </si>
  <si>
    <t>Annual Maintenance</t>
  </si>
  <si>
    <t>Copies Included:</t>
  </si>
  <si>
    <t>0 Copies Included</t>
  </si>
  <si>
    <t>600 Monthly / 7,200 Annually</t>
  </si>
  <si>
    <t>Overages:</t>
  </si>
  <si>
    <t>Overages billed at $0.017</t>
  </si>
  <si>
    <t>Overages billed at $0.016</t>
  </si>
  <si>
    <t>Contract Pricing</t>
  </si>
  <si>
    <t>Leasing Options</t>
  </si>
  <si>
    <r>
      <t xml:space="preserve">Segment Option </t>
    </r>
    <r>
      <rPr>
        <b/>
        <i/>
        <sz val="8"/>
        <rFont val="Tahoma"/>
        <family val="2"/>
      </rPr>
      <t>Standard Configuration Only</t>
    </r>
  </si>
  <si>
    <t>Quantity</t>
  </si>
  <si>
    <t>Item No</t>
  </si>
  <si>
    <t>Description</t>
  </si>
  <si>
    <t>MSRP</t>
  </si>
  <si>
    <t>Purchase Price</t>
  </si>
  <si>
    <t>Total</t>
  </si>
  <si>
    <t>12 Month</t>
  </si>
  <si>
    <t>36 Month</t>
  </si>
  <si>
    <t>48 Month</t>
  </si>
  <si>
    <t>60 Month</t>
  </si>
  <si>
    <t>AC-1</t>
  </si>
  <si>
    <t>Surge Protector</t>
  </si>
  <si>
    <t>7a</t>
  </si>
  <si>
    <t>OPTIONAL ACCESSORIES</t>
  </si>
  <si>
    <t>CS-1 Convenience Stapler</t>
  </si>
  <si>
    <t>ACEVWY1</t>
  </si>
  <si>
    <t>PF-P23 Paper Cassette 250-sheet</t>
  </si>
  <si>
    <t>ACEWWY1</t>
  </si>
  <si>
    <t>PF-P24 Paper Cassette 520-sheet</t>
  </si>
  <si>
    <t>TOTAL PURCHASE</t>
  </si>
  <si>
    <t>TOTAL 12 MONTHS</t>
  </si>
  <si>
    <t>TOTAL 36 MONTHS</t>
  </si>
  <si>
    <t>TOTAL 48 MONTHS</t>
  </si>
  <si>
    <t>TOTAL 60 MONTHS</t>
  </si>
  <si>
    <t>52 ppm Ltr</t>
  </si>
  <si>
    <t>27 sec. or less /9.5 sec. or less</t>
  </si>
  <si>
    <t>1610 Sheets</t>
  </si>
  <si>
    <t>1 GB</t>
  </si>
  <si>
    <t>110-120 V / 50/60 Hz</t>
  </si>
  <si>
    <t>19.4" (W) x 16.8" (D) x 20.3" (H)</t>
  </si>
  <si>
    <t>41 lbs.</t>
  </si>
  <si>
    <t>EH91539</t>
  </si>
  <si>
    <t>CS-2 Convenience Stapler</t>
  </si>
  <si>
    <t>PF-P23 PAPER TRAY (250-SHEET CAPACITY)</t>
  </si>
  <si>
    <t>PF-P24 PAPER TRAY (520-SHEET CAPACITY)</t>
  </si>
  <si>
    <t>KONICA MINOLTA bizhub 4051i Black and White Multifunction Printer</t>
  </si>
  <si>
    <r>
      <t xml:space="preserve">The latest addition to the new generation of the bizhub A4 series, the bizhub 4051i monochrome MFP. The updated A4 model maintains the company’s objective to create value, ease, and convenience for our customers while also taking into consideration a changed work environment with more people working from home. The A4 MFP model incorporates features that are simple enough for use at home yet still offer advanced features for a professional office setup. 
</t>
    </r>
    <r>
      <rPr>
        <sz val="10"/>
        <rFont val="Tahoma"/>
        <family val="2"/>
      </rPr>
      <t>**Picture below may show optional accessories not included with the base configuration. Consult VBS Sales Professional for product information.</t>
    </r>
  </si>
  <si>
    <t>Printer / Copier / Full-Color Scanner</t>
  </si>
  <si>
    <t>Electrostatic Laser Copy, Tandem indirect</t>
  </si>
  <si>
    <t>600 x 600 dpi</t>
  </si>
  <si>
    <t>Approx 13 sec. or less / 4.8 sec. or less</t>
  </si>
  <si>
    <t>Processor Speed</t>
  </si>
  <si>
    <t>800 MHz</t>
  </si>
  <si>
    <t>600 Sheet Tray w/100 sheet Manual Bypass tray</t>
  </si>
  <si>
    <t>1600 Sheets</t>
  </si>
  <si>
    <t>5GB Standard</t>
  </si>
  <si>
    <t>110-120V, 60Hz / 50/60 Hz</t>
  </si>
  <si>
    <t>16.5” x 20.8” x 22.5”</t>
  </si>
  <si>
    <t>77 lbs.</t>
  </si>
  <si>
    <t xml:space="preserve">               MAINTENANCE</t>
  </si>
  <si>
    <t>MAINTENANCE OPTION - 8</t>
  </si>
  <si>
    <t>MAINTENANCE OPTION - 8a</t>
  </si>
  <si>
    <t>1000 Monthly / 12,000 Annually</t>
  </si>
  <si>
    <t>ACT9017</t>
  </si>
  <si>
    <r>
      <t xml:space="preserve">Bizhub 4051i </t>
    </r>
    <r>
      <rPr>
        <i/>
        <sz val="10"/>
        <rFont val="Arial"/>
        <family val="2"/>
      </rPr>
      <t>(two optional Paper Feed Units (PF-P21) or the PF-P25 (height adjustment) are recommended to reach operational height)</t>
    </r>
  </si>
  <si>
    <t>DK-P05 Copy Desk</t>
  </si>
  <si>
    <t>8a</t>
  </si>
  <si>
    <t>7640013468</t>
  </si>
  <si>
    <t>AU-204H Mag Stripe Card Reader</t>
  </si>
  <si>
    <t>R5427011136466GEN2</t>
  </si>
  <si>
    <t>AU-205HGEN2 SQ-2020-94643 AU-205H IC Card Reader</t>
  </si>
  <si>
    <t>7640016375</t>
  </si>
  <si>
    <t>bizhub SECURE</t>
  </si>
  <si>
    <t>7640019089</t>
  </si>
  <si>
    <t>bizhub SECURE Healthcare</t>
  </si>
  <si>
    <t>7640020217</t>
  </si>
  <si>
    <t>bizhub SECURE Platinum</t>
  </si>
  <si>
    <t>ACCTWY1</t>
  </si>
  <si>
    <t>EK-P08 Local Interface Kit USB w/out Bluetooth</t>
  </si>
  <si>
    <t>ACCVWY1</t>
  </si>
  <si>
    <t xml:space="preserve">EK-P09 Local Interface Kit USB Kit w/ Bluetooth </t>
  </si>
  <si>
    <t>ACDJWY1</t>
  </si>
  <si>
    <t>EM-908 (1 TB SSD)</t>
  </si>
  <si>
    <t>G844100LCMUS2</t>
  </si>
  <si>
    <t>External Keyboard</t>
  </si>
  <si>
    <t>AA1K011</t>
  </si>
  <si>
    <t>FK-517 Fax Kit</t>
  </si>
  <si>
    <t>ACCGWY2</t>
  </si>
  <si>
    <t>FS-P04 Offline Finisher (20-sheet capacity)</t>
  </si>
  <si>
    <t>ACCFWY1</t>
  </si>
  <si>
    <t>KH-P02 Keyboard Holder</t>
  </si>
  <si>
    <t>ACCJWY1</t>
  </si>
  <si>
    <t>KP-102 Keypad</t>
  </si>
  <si>
    <t>A0PD117</t>
  </si>
  <si>
    <t>LK-104 v3 i-Option License Kit (Voice Guidance)</t>
  </si>
  <si>
    <t>A0PD119</t>
  </si>
  <si>
    <t>LK-106 I-Option Bar Code Font</t>
  </si>
  <si>
    <t>A0PD11F</t>
  </si>
  <si>
    <t>LK-107 i-Option License Kit (Unicode Font)</t>
  </si>
  <si>
    <t>A0PD11G</t>
  </si>
  <si>
    <t>LK-108 i-Option License Kit (OCR Font)</t>
  </si>
  <si>
    <t>A0PD11U</t>
  </si>
  <si>
    <t>LK-110 v2 i-Option License Kit (Enhanced Imaging)</t>
  </si>
  <si>
    <t>A0PD11K</t>
  </si>
  <si>
    <t>LK-111 i-Option License Kit (ThinPrint Client Support)</t>
  </si>
  <si>
    <t>A0PDAA1</t>
  </si>
  <si>
    <t>LK-116 LK-116 Bitdefender Virus Scan</t>
  </si>
  <si>
    <t>ACCKWY1</t>
  </si>
  <si>
    <t>MK-P08 Mount Kit for AU-205H</t>
  </si>
  <si>
    <t>AAJUW12</t>
  </si>
  <si>
    <t>PF-P25  Height Adjustment Unit</t>
  </si>
  <si>
    <t>AAJUW14</t>
  </si>
  <si>
    <t>PF-P28 Paper Feed Unit</t>
  </si>
  <si>
    <t>ACCNWY1</t>
  </si>
  <si>
    <t>UK-P19 Double-feed Detection Kit</t>
  </si>
  <si>
    <t>ACCRWY1</t>
  </si>
  <si>
    <t>WT-P03 Working Table</t>
  </si>
  <si>
    <t>TOTAL 12 MONTH</t>
  </si>
  <si>
    <t>TOTAL 36 MONTH</t>
  </si>
  <si>
    <t>TOTAL 48 MONTH</t>
  </si>
  <si>
    <t>TOTAL 60 MONTH</t>
  </si>
  <si>
    <t>KONICA MINOLTA bizhub 4751i Black and White Multifunction Printer</t>
  </si>
  <si>
    <r>
      <t xml:space="preserve">The latest addition to the new generation of the bizhub A4 series, the bizhub 4751i monochrome MFP. The updated A4 model maintains the company’s objective to create value, ease and convenience for our customers while also taking into consideration a changed work environment with more people working from home.
</t>
    </r>
    <r>
      <rPr>
        <sz val="10"/>
        <rFont val="Tahoma"/>
        <family val="2"/>
      </rPr>
      <t>**Picture below may show optional accessories not included with the base configuration. Consult VBS Sales Professional for product information.</t>
    </r>
  </si>
  <si>
    <t>50 ppm Ltr</t>
  </si>
  <si>
    <t>Approx 13 sec. or less / 4.3 sec. or less</t>
  </si>
  <si>
    <t>110-120V, 60Hz</t>
  </si>
  <si>
    <t>MAINTENANCE OPTION - 9</t>
  </si>
  <si>
    <t>MAINTENANCE OPTION - 9a</t>
  </si>
  <si>
    <t>4000 Monthly / 48,000 Annually</t>
  </si>
  <si>
    <t>Overages billed at $0.009</t>
  </si>
  <si>
    <t>ACT8017</t>
  </si>
  <si>
    <r>
      <t xml:space="preserve">Bizhub 4751i </t>
    </r>
    <r>
      <rPr>
        <i/>
        <sz val="10"/>
        <rFont val="Arial"/>
        <family val="2"/>
      </rPr>
      <t>(two optional Paper Feed Units (PF-P21) or the PF-P25 (height adjustment) are recommended to reach operational height)</t>
    </r>
  </si>
  <si>
    <t>9a</t>
  </si>
  <si>
    <t>CS-2 CONVENIENCE STAPLER</t>
  </si>
  <si>
    <t>KP-102 KP-102 KEYPAD</t>
  </si>
  <si>
    <t>LK-104 v3 i-Option License Kit  (Voice Guidance)</t>
  </si>
  <si>
    <t>LK-106 I-OPTION Bar Code Font</t>
  </si>
  <si>
    <t>LK-110v2 i-Option License Kit (Enhanced Imaging)</t>
  </si>
  <si>
    <t>LK-116 Bitdefender Virus Scan</t>
  </si>
  <si>
    <t>PF-P25 Height Adjustment Unit</t>
  </si>
  <si>
    <t xml:space="preserve">PF-P28 PAPER FEED UNIT </t>
  </si>
  <si>
    <t xml:space="preserve">KONICA MINOLTA bizhub 227 Black and White Digital Copier </t>
  </si>
  <si>
    <r>
      <t xml:space="preserve">The bizhub 227 provides productivity features to speed your output economically, including 22 ppm printing, color scanning, powerful finishing options for right-size scalability and enhanced control panel which now features a new mobile connectivity area.
</t>
    </r>
    <r>
      <rPr>
        <sz val="10"/>
        <rFont val="Tahoma"/>
        <family val="2"/>
      </rPr>
      <t>**Picture below may show optional accessories not included with the base configuration. Consult VBS Sales Professional for product information.</t>
    </r>
  </si>
  <si>
    <t>Printer/Copier/Scanner with Stationary Platen</t>
  </si>
  <si>
    <t>Simitri® HD Polymerized Toner</t>
  </si>
  <si>
    <t>22 pages per minute</t>
  </si>
  <si>
    <t xml:space="preserve">600 x 600 dpi </t>
  </si>
  <si>
    <t>Warm-Up Time:</t>
  </si>
  <si>
    <t>Less than 15 seconds</t>
  </si>
  <si>
    <t>First Copy:</t>
  </si>
  <si>
    <t>5.3 seconds or less</t>
  </si>
  <si>
    <t>Preset reduction 50%, 65%, 73%, 79%, 93%</t>
  </si>
  <si>
    <t>Preset enlargement 121%, 129%, 155%, 200%</t>
  </si>
  <si>
    <t>500-sheet universal tray (2); 100 sheet bypass</t>
  </si>
  <si>
    <t>5 1/2 x 8 1/2- 11x17</t>
  </si>
  <si>
    <t>3,600 sheets</t>
  </si>
  <si>
    <t>4GB RAM</t>
  </si>
  <si>
    <t>120 V / 50/60 Hz</t>
  </si>
  <si>
    <t>23.0" x 26.0" x 28.9" (WDH)</t>
  </si>
  <si>
    <t>124.6 lbs.</t>
  </si>
  <si>
    <t>MAINTENANCE OPTION - 10</t>
  </si>
  <si>
    <t>MAINTENANCE OPTION - 10a</t>
  </si>
  <si>
    <t>MAINTENANCE OPTION - 10b</t>
  </si>
  <si>
    <t>Annual Maintenance on Purchase:</t>
  </si>
  <si>
    <t>6,000 Monthly / 72,000 Annually</t>
  </si>
  <si>
    <t>13,000 Monthly / 156,000 Annually</t>
  </si>
  <si>
    <t>CPC:</t>
  </si>
  <si>
    <t>Cost per Copy billed at $0.006</t>
  </si>
  <si>
    <t>Overages</t>
  </si>
  <si>
    <t>Overages billed at $0.006</t>
  </si>
  <si>
    <t>A7AK011X001</t>
  </si>
  <si>
    <t>Bizhub 227</t>
  </si>
  <si>
    <t>A7V7WY1</t>
  </si>
  <si>
    <t>DF-628 Reversing Auto Doc Feeder</t>
  </si>
  <si>
    <t>DK-513 Copy Desk</t>
  </si>
  <si>
    <t>10a</t>
  </si>
  <si>
    <t>10b</t>
  </si>
  <si>
    <t>R5427000136466</t>
  </si>
  <si>
    <t>A2YVWY2</t>
  </si>
  <si>
    <t>A0PD116</t>
  </si>
  <si>
    <t>A0PD11T</t>
  </si>
  <si>
    <t>LK-106 i-Option License Kit (Bar Code Font)</t>
  </si>
  <si>
    <t>A4NMWY1</t>
  </si>
  <si>
    <t>A7YPWY1</t>
  </si>
  <si>
    <t>OC-514 Original Cover</t>
  </si>
  <si>
    <t>A7VA013</t>
  </si>
  <si>
    <t>A3ETW11</t>
  </si>
  <si>
    <t>SP-501 Fax Stamp Unit</t>
  </si>
  <si>
    <t>Stylus Pen for INFO-Palette Series</t>
  </si>
  <si>
    <t>WT-506 Working Table</t>
  </si>
  <si>
    <t xml:space="preserve">KONICA MINOLTA bizhub 301i Black and White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</si>
  <si>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one pass dual scan doc feeder,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</si>
  <si>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Laser w/ Simitri® HD Polymerized Toner</t>
  </si>
  <si>
    <t>30 pages per minute</t>
  </si>
  <si>
    <t>Approx. 11 seconds</t>
  </si>
  <si>
    <t>5.0 seconds or less</t>
  </si>
  <si>
    <t>500-sheet universal tray (2); 150 sheet bypass</t>
  </si>
  <si>
    <t>6,650 sheets</t>
  </si>
  <si>
    <t>8,192 MB Standard</t>
  </si>
  <si>
    <t>110–120 V / 50/60 Hz</t>
  </si>
  <si>
    <t>24.2” x 27” x 31”  (WDH)</t>
  </si>
  <si>
    <t>187 lbs</t>
  </si>
  <si>
    <t>ADXW013</t>
  </si>
  <si>
    <t>BIZHUB 301i + DF-714</t>
  </si>
  <si>
    <t>DK-516 Enhanced Copy Desk (Storage only)</t>
  </si>
  <si>
    <t>A88AWY2</t>
  </si>
  <si>
    <t>A87DWY2</t>
  </si>
  <si>
    <t xml:space="preserve">External Keyboard </t>
  </si>
  <si>
    <t>A883012</t>
  </si>
  <si>
    <t>FS-539 &amp; RU-513 Finisher (50 Sheets) plus manual stapler &amp;  Relay Unit</t>
  </si>
  <si>
    <t>JS-506 Job Separator</t>
  </si>
  <si>
    <t>KP-102 10-Key Pad</t>
  </si>
  <si>
    <t>LK-110 v2 i-Option License Kit (File Conversion)</t>
  </si>
  <si>
    <t>A0PD01K</t>
  </si>
  <si>
    <t>A9EFW12</t>
  </si>
  <si>
    <t>A87VW12</t>
  </si>
  <si>
    <t>A4MEWY2</t>
  </si>
  <si>
    <t>MK-735 Mount Kit  (IC Card Internal Mount Kit)</t>
  </si>
  <si>
    <t>AAV5016</t>
  </si>
  <si>
    <t>PC-417 Paper Feed Cabinet</t>
  </si>
  <si>
    <t>AC28W11</t>
  </si>
  <si>
    <t>ACDKWY1</t>
  </si>
  <si>
    <t>4614506</t>
  </si>
  <si>
    <t>4614511</t>
  </si>
  <si>
    <t xml:space="preserve">KONICA MINOLTA bizhub C251i Full Color Digital Copier </t>
  </si>
  <si>
    <t>Type:</t>
  </si>
  <si>
    <t>Full Color Printer/Copier/Scanner</t>
  </si>
  <si>
    <t>Print/Copy Process:</t>
  </si>
  <si>
    <t>Laser electrostatic copy method</t>
  </si>
  <si>
    <t>Development System:</t>
  </si>
  <si>
    <t>Dry-2 component developing method</t>
  </si>
  <si>
    <t>130,000 pages</t>
  </si>
  <si>
    <t>25-ppm Color/Black &amp; White</t>
  </si>
  <si>
    <t>600 X 600 dpi</t>
  </si>
  <si>
    <t>Full Color: 6.9 seconds</t>
  </si>
  <si>
    <t>B&amp;W: 5.2 seconds</t>
  </si>
  <si>
    <t>25 - 400%, .1% increments</t>
  </si>
  <si>
    <t>4" x 6” to 12” x 18”</t>
  </si>
  <si>
    <t>Memory</t>
  </si>
  <si>
    <t>8 GB (Std.)</t>
  </si>
  <si>
    <t>Power Requirement:</t>
  </si>
  <si>
    <t>120V, 12 A, 60 Hz</t>
  </si>
  <si>
    <t>24.2" (W) x 27" (D) x 31" (H)</t>
  </si>
  <si>
    <t>185 lbs.</t>
  </si>
  <si>
    <t>MAINTENANCE OPTION - 11</t>
  </si>
  <si>
    <t>MAINTENANCE OPTION - 11a</t>
  </si>
  <si>
    <t>MAINTENANCE OPTION - 11b</t>
  </si>
  <si>
    <t>Cost per Copy billed at $0.008</t>
  </si>
  <si>
    <t>Overages billed at $0.008</t>
  </si>
  <si>
    <t>Color CPC</t>
  </si>
  <si>
    <t>Color CPC billed at $0.047</t>
  </si>
  <si>
    <t>Color CPC billed at $0.04</t>
  </si>
  <si>
    <t>ADXM013</t>
  </si>
  <si>
    <t>C251i &amp; DF-714 Scan Doc Feed COPIER/PRINTER</t>
  </si>
  <si>
    <t>11a</t>
  </si>
  <si>
    <t>11b</t>
  </si>
  <si>
    <t>45111094</t>
  </si>
  <si>
    <t>45111142</t>
  </si>
  <si>
    <t>45111156</t>
  </si>
  <si>
    <t>7640006869</t>
  </si>
  <si>
    <t xml:space="preserve">IC-420 Image Controller </t>
  </si>
  <si>
    <t>LK-111  i-Option License Kit (ThinPrint Client Support)</t>
  </si>
  <si>
    <t>ACDFWY1</t>
  </si>
  <si>
    <t>ACDHWY1</t>
  </si>
  <si>
    <t xml:space="preserve">KONICA MINOLTA bizhub C301i Full Color Digital Copier </t>
  </si>
  <si>
    <t>150,000 pages</t>
  </si>
  <si>
    <t>30-ppm Color/Black &amp; White</t>
  </si>
  <si>
    <t>Full Color: 6.7 seconds</t>
  </si>
  <si>
    <t>B&amp;W: 5.0 seconds</t>
  </si>
  <si>
    <t>ADXK013</t>
  </si>
  <si>
    <t>C301i &amp; DF-714 Scan Doc Feed COPIER/PRINTER</t>
  </si>
  <si>
    <t>135700</t>
  </si>
  <si>
    <t>1</t>
  </si>
  <si>
    <t>KONICA MINOLTA bizhub C3350i Color Compact Multifunction Printer</t>
  </si>
  <si>
    <r>
      <t xml:space="preserve">The new i-Series compact color MFPs house a powerful engine, a quad-core Central Processing Unit with standard 5 GB of memory and 256 GB SSD, which allows for quick-response and high-performance operations. The advanced Emperon print system, standard wireless connectivity and web browser, dual scan document feeder, high-speed fax and intuitive touchscreen operation make this a valuable stand-alone solution or versatile addition to mixed networks of large and small MFPs.
</t>
    </r>
    <r>
      <rPr>
        <sz val="10"/>
        <rFont val="Tahoma"/>
        <family val="2"/>
      </rPr>
      <t>**Picture below may show optional accessories not included with the base configuration. Consult VBS Sales Professional for product information.</t>
    </r>
  </si>
  <si>
    <t>Simitri® HD polymerised toner</t>
  </si>
  <si>
    <t>96,000 pages</t>
  </si>
  <si>
    <t>35-ppm Color/Black &amp; White</t>
  </si>
  <si>
    <t>Full Color: 6.3 seconds</t>
  </si>
  <si>
    <t>B&amp;W: 5.6 seconds</t>
  </si>
  <si>
    <t>3.9" x 8.8” to 8.5” x 14”</t>
  </si>
  <si>
    <t>5 GB (Std.)</t>
  </si>
  <si>
    <t>110–120 V / 60 Hz; Less than 1.45 kW</t>
  </si>
  <si>
    <t>18.5" (W) x 20.8" (D) x 22.5" (H)</t>
  </si>
  <si>
    <t>86 lbs.</t>
  </si>
  <si>
    <t>A93E011</t>
  </si>
  <si>
    <t>BIZHUB C3320i A4 COPIER/PRINTER</t>
  </si>
  <si>
    <t>135900</t>
  </si>
  <si>
    <t>BIZHUB C3350i A4 COPIER/PRINTER</t>
  </si>
  <si>
    <t>AU-205H IC Card Reader</t>
  </si>
  <si>
    <t>7640018745</t>
  </si>
  <si>
    <t>bizhub SECURE - Small MFP</t>
  </si>
  <si>
    <t>7640019026</t>
  </si>
  <si>
    <t>bizhub SECURE Healthcare - Small MFP</t>
  </si>
  <si>
    <t>7640020266</t>
  </si>
  <si>
    <t>bizhub SECURE Platinum - Small MFP</t>
  </si>
  <si>
    <t>ACCGWY1</t>
  </si>
  <si>
    <t>FS-P04 Finisher</t>
  </si>
  <si>
    <t>LK-102 v3  i-Option License Kit  (Encrypted PDF, PDF/A, Linearized PDF)</t>
  </si>
  <si>
    <t>LK-105 v4  i-Option License Kit (Searchable PDF)</t>
  </si>
  <si>
    <t>LK-106  I-Option Bar Code Font</t>
  </si>
  <si>
    <t>LK-107  i-Option License Kit (Unicode Font)</t>
  </si>
  <si>
    <t>LK-108  i-Option OCR Font</t>
  </si>
  <si>
    <t>MK-P08 Mount Kit for AU Unit</t>
  </si>
  <si>
    <t>AAJUW11</t>
  </si>
  <si>
    <t>PF-P21  Paper Feed Unit (Lgl/Ltr)</t>
  </si>
  <si>
    <t xml:space="preserve">KONICA MINOLTA bizhub 361i Black and White Digital Copier </t>
  </si>
  <si>
    <t>36 pages per minute</t>
  </si>
  <si>
    <t>Approx. 12 seconds</t>
  </si>
  <si>
    <t>4.6 seconds or less</t>
  </si>
  <si>
    <t>MAINTENANCE OPTION - 12</t>
  </si>
  <si>
    <t>MAINTENANCE OPTION - 12a</t>
  </si>
  <si>
    <t>MAINTENANCE OPTION - 12b</t>
  </si>
  <si>
    <t>10,000 Monthly / 120,000 Annually</t>
  </si>
  <si>
    <t>22,000 Monthly / 264,000 Annually</t>
  </si>
  <si>
    <t>Overages billed at $0.0045</t>
  </si>
  <si>
    <t>ADXV013</t>
  </si>
  <si>
    <t>BIZHUB 361i + DF-714</t>
  </si>
  <si>
    <t>12a</t>
  </si>
  <si>
    <t>12b</t>
  </si>
  <si>
    <t xml:space="preserve">KONICA MINOLTA bizhub 451i Black and White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</si>
  <si>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</si>
  <si>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45 pages per minute</t>
  </si>
  <si>
    <t>Approx. 15 seconds</t>
  </si>
  <si>
    <t>3.8 seconds or less</t>
  </si>
  <si>
    <t>110–120 V / 60 Hz</t>
  </si>
  <si>
    <t>24.2” x 27.1” x 37.8” (WDH)</t>
  </si>
  <si>
    <t>220 lbs</t>
  </si>
  <si>
    <t>ADXT011</t>
  </si>
  <si>
    <r>
      <t xml:space="preserve">bizhub 451i 
</t>
    </r>
    <r>
      <rPr>
        <b/>
        <sz val="10"/>
        <color indexed="8"/>
        <rFont val="Arial"/>
        <family val="2"/>
      </rPr>
      <t>(OT-513 Output Tray required when no finisher is ordered)</t>
    </r>
  </si>
  <si>
    <t>A10CWY2</t>
  </si>
  <si>
    <t>JS-602 Job Separator (FS-540/FS-540SD)</t>
  </si>
  <si>
    <t>ACF5W11</t>
  </si>
  <si>
    <t>A63GWY2</t>
  </si>
  <si>
    <t xml:space="preserve">KONICA MINOLTA bizhub C361i Full Color Digital Copier </t>
  </si>
  <si>
    <t>175,000 pages</t>
  </si>
  <si>
    <t>36-ppm Color/Black &amp; White</t>
  </si>
  <si>
    <t>Full Color: 6.1 seconds</t>
  </si>
  <si>
    <t>B&amp;W: 4.6 seconds</t>
  </si>
  <si>
    <t>MAINTENANCE OPTION - 13</t>
  </si>
  <si>
    <t>MAINTENANCE OPTION - 13a</t>
  </si>
  <si>
    <t>MAINTENANCE OPTION - 13b</t>
  </si>
  <si>
    <t>Cost per Copy billed at $0.0085</t>
  </si>
  <si>
    <t>Overages billed at $0.0075</t>
  </si>
  <si>
    <t>ADXJ013</t>
  </si>
  <si>
    <t>C361i &amp; DF-714 Scan Doc Feed COPIER/PRINTER</t>
  </si>
  <si>
    <t>13a</t>
  </si>
  <si>
    <t>13b</t>
  </si>
  <si>
    <t>A3PMWY1</t>
  </si>
  <si>
    <t>PC-116  Paper Feed Cabinet</t>
  </si>
  <si>
    <t>PC-216  Paper Feed Cabinet</t>
  </si>
  <si>
    <t>PC-416  Paper Feed Cabinet</t>
  </si>
  <si>
    <t xml:space="preserve">KONICA MINOLTA bizhub 551i Black and White Digital Copier </t>
  </si>
  <si>
    <t>55 pages per minute</t>
  </si>
  <si>
    <t>Approx. 14 seconds</t>
  </si>
  <si>
    <t>3.3 seconds or less</t>
  </si>
  <si>
    <t>220–240 V / 50/60 Hz</t>
  </si>
  <si>
    <t>MAINTENANCE OPTION - 14</t>
  </si>
  <si>
    <t>MAINTENANCE OPTION - 14a</t>
  </si>
  <si>
    <t>MAINTENANCE OPTION - 14b</t>
  </si>
  <si>
    <t>15,000 Monthly / 180,000 Annually</t>
  </si>
  <si>
    <t>30,000 Monthly / 360,000 Annually</t>
  </si>
  <si>
    <t>Cost per Copy billed at $0.0065</t>
  </si>
  <si>
    <t>Overages billed at $0.0055</t>
  </si>
  <si>
    <t>ADXR011</t>
  </si>
  <si>
    <t>bizhub 551i
(OT-513 Output Tray required when with no finisher)</t>
  </si>
  <si>
    <t>14a</t>
  </si>
  <si>
    <t>14b</t>
  </si>
  <si>
    <t xml:space="preserve">KONICA MINOLTA bizhub C451i Full Color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</si>
  <si>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</si>
  <si>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200,000 pages</t>
  </si>
  <si>
    <t>45-ppm Full Color; 45-ppm Black and White</t>
  </si>
  <si>
    <t>1200 X 1200 dpi</t>
  </si>
  <si>
    <t>Warm up time:</t>
  </si>
  <si>
    <t>Approx 13 seconds</t>
  </si>
  <si>
    <t xml:space="preserve">Full Color: 5.0 seconds or less (letter) </t>
  </si>
  <si>
    <t>B&amp;W: 3.8 seconds or less (letter)</t>
  </si>
  <si>
    <t>25 - 400%, .1% increments; Preset reduction 79%, 73%,</t>
  </si>
  <si>
    <t>65%, 50%; Preset enlargement 121%, 129%, 155%,200%</t>
  </si>
  <si>
    <t>24.2” x 27.1" x 37.8” (WDH)</t>
  </si>
  <si>
    <t>220 lbs.</t>
  </si>
  <si>
    <t>MAINTENANCE OPTION - 15</t>
  </si>
  <si>
    <t>MAINTENANCE OPTION - 15a</t>
  </si>
  <si>
    <t>MAINTENANCE OPTION - 15b</t>
  </si>
  <si>
    <t>Cost per Copy billed at $0.005</t>
  </si>
  <si>
    <t>Overages billed at $0.005</t>
  </si>
  <si>
    <t>ADXG011</t>
  </si>
  <si>
    <t>Bizhub C451i (OT-513 Output Tray required when with no finisher)</t>
  </si>
  <si>
    <t>INNOVOLT</t>
  </si>
  <si>
    <t>15a</t>
  </si>
  <si>
    <t>15b</t>
  </si>
  <si>
    <t>EFI AutoTrap Graphic Arts Feature</t>
  </si>
  <si>
    <t>EFI IC-418 Productivity Package</t>
  </si>
  <si>
    <t>FS-539 &amp; RU-513 Finisher (50 Sheets) plus manual stapler &amp; Relay Unit</t>
  </si>
  <si>
    <t>ACV2WY1</t>
  </si>
  <si>
    <t>JS-508 Job Separator</t>
  </si>
  <si>
    <t>Key Counter Mount Kit 1</t>
  </si>
  <si>
    <t>OT-513 Output Tray</t>
  </si>
  <si>
    <t>PK-526 2/3 Hole Punch Unit (FS-540/FS-540SD)</t>
  </si>
  <si>
    <t>SC-509 Security Kit</t>
  </si>
  <si>
    <t>Spare TX Marker Stamp 2</t>
  </si>
  <si>
    <t>VI-516 Video Interface Kit</t>
  </si>
  <si>
    <t xml:space="preserve">KONICA MINOLTA bizhub C551i Full Color Digital Copier </t>
  </si>
  <si>
    <t>250,000 pages</t>
  </si>
  <si>
    <t>55-ppm Full Color; 55-ppm Black and White</t>
  </si>
  <si>
    <t xml:space="preserve">Full Color: 4.3 seconds or less (letter) </t>
  </si>
  <si>
    <t>B&amp;W: 3.3 seconds or less (letter)</t>
  </si>
  <si>
    <t>ADXF011</t>
  </si>
  <si>
    <t>Bizhub C551i (OT-513 Output Tray required when with no finisher)</t>
  </si>
  <si>
    <t xml:space="preserve">KONICA MINOLTA bizhub C651i Full Color Digital Copier </t>
  </si>
  <si>
    <t>300,000 pages</t>
  </si>
  <si>
    <t>65-ppm Full Color; 65-ppm Black and White</t>
  </si>
  <si>
    <t xml:space="preserve">Full Color: 3.8 seconds or less (letter) </t>
  </si>
  <si>
    <t>B&amp;W: 2.8 seconds or less (letter)</t>
  </si>
  <si>
    <t>ADXE011</t>
  </si>
  <si>
    <t>Bizhub C651i (OT-513 Output Tray required when with no finisher)</t>
  </si>
  <si>
    <t xml:space="preserve">KONICA MINOLTA bizhub C751i Full Color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</si>
  <si>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</si>
  <si>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Full Color Scanner/Printer/Copier with stationary platen</t>
  </si>
  <si>
    <t>Tandem Process</t>
  </si>
  <si>
    <t>75-ppm Black &amp; White/Color</t>
  </si>
  <si>
    <t>600 X 600 dpi; 600 x 1800 dpi (enhanced resolution)</t>
  </si>
  <si>
    <t>approximately 22 seconds</t>
  </si>
  <si>
    <t xml:space="preserve">Full Color: 4.9 seconds or less (letter) </t>
  </si>
  <si>
    <t>B&amp;W: 3.6 seconds or less (letter)</t>
  </si>
  <si>
    <t>120 V, 60Hz</t>
  </si>
  <si>
    <t>25.5” x 31.5" x 45.5” (WDH)</t>
  </si>
  <si>
    <t>487 lbs.</t>
  </si>
  <si>
    <t>ADXD011</t>
  </si>
  <si>
    <r>
      <t xml:space="preserve">Bizhub C751i  </t>
    </r>
    <r>
      <rPr>
        <b/>
        <sz val="9"/>
        <color indexed="8"/>
        <rFont val="Arial"/>
        <family val="2"/>
      </rPr>
      <t>(OT-514 Output Tray required when no finisher is ordered)</t>
    </r>
  </si>
  <si>
    <t>AAR4WY3 &amp; ACU6WY1</t>
  </si>
  <si>
    <t>AAR5WY1 &amp; ACU6WY1</t>
  </si>
  <si>
    <t>AAR5WYA &amp; ACU6WY1</t>
  </si>
  <si>
    <t>A8H7W12</t>
  </si>
  <si>
    <t>LU-205 Large Capacity Unit</t>
  </si>
  <si>
    <t>A8H6W12</t>
  </si>
  <si>
    <t>LU-303 Large Capacity Unit</t>
  </si>
  <si>
    <t xml:space="preserve">KONICA MINOLTA bizhub 651i Black and White Digital Copier </t>
  </si>
  <si>
    <t>65 pages per minute</t>
  </si>
  <si>
    <t>2.8 seconds or less</t>
  </si>
  <si>
    <t>24.2” x 27.1” x 37.8”   (WDH)</t>
  </si>
  <si>
    <t>MAINTENANCE OPTION - 16</t>
  </si>
  <si>
    <t>MAINTENANCE OPTION - 16a</t>
  </si>
  <si>
    <t>MAINTENANCE OPTION - 16b</t>
  </si>
  <si>
    <t>45,000 Monthly / 540,000 Annually</t>
  </si>
  <si>
    <t>ADXP011</t>
  </si>
  <si>
    <t>16a</t>
  </si>
  <si>
    <t>16b</t>
  </si>
  <si>
    <t xml:space="preserve">KONICA MINOLTA bizhub 751i Black and White Digital Copier </t>
  </si>
  <si>
    <r>
      <t xml:space="preserve">This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**Picture below may show optional accessories not included with the base configuration. Consult VBS Sales Professional for product information.</t>
    </r>
  </si>
  <si>
    <t>75 pages per minute</t>
  </si>
  <si>
    <t>Approx. 17 seconds</t>
  </si>
  <si>
    <t>110-120V/ 50/60 Hz</t>
  </si>
  <si>
    <t>24.2” x 27.1” x 47.5”  (WDH)</t>
  </si>
  <si>
    <t>307 lbs</t>
  </si>
  <si>
    <t>MAINTENANCE OPTION - 17</t>
  </si>
  <si>
    <t>MAINTENANCE OPTION - 17a</t>
  </si>
  <si>
    <t>MAINTENANCE OPTION - 17b</t>
  </si>
  <si>
    <t>25,000 Monthly / 300,000 Annually</t>
  </si>
  <si>
    <t>55,000 Monthly / 660,000 Annually</t>
  </si>
  <si>
    <t>Cost per Copy billed at $0.004</t>
  </si>
  <si>
    <t>Overages billed at $0.004</t>
  </si>
  <si>
    <t>ADXN011</t>
  </si>
  <si>
    <t>17a</t>
  </si>
  <si>
    <t>17b</t>
  </si>
  <si>
    <t xml:space="preserve">KONICA MINOLTA bizhub 850i Black and White Digital Copier </t>
  </si>
  <si>
    <r>
      <t xml:space="preserve">The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intelligent media sensor, digital skew correction, and large capacity trays, it blends reliable functionality with versatile serviceability.
</t>
    </r>
    <r>
      <rPr>
        <sz val="10"/>
        <rFont val="Tahoma"/>
        <family val="2"/>
      </rPr>
      <t>**Picture below may show optional accessories not included with the base configuration. Consult VBS Sales Professional for product information.</t>
    </r>
  </si>
  <si>
    <t>Printer/Copier/Scanner; Console</t>
  </si>
  <si>
    <t>Laser</t>
  </si>
  <si>
    <t>85 pages per minute</t>
  </si>
  <si>
    <t xml:space="preserve">600 X 600 dpi </t>
  </si>
  <si>
    <t>Less than 55 seconds</t>
  </si>
  <si>
    <t>Less than 3.2 seconds</t>
  </si>
  <si>
    <t xml:space="preserve">25 - 400%, .001 increments; </t>
  </si>
  <si>
    <t>Preset reduction 50%, 65%, 73%, 79%</t>
  </si>
  <si>
    <t>500-sheet universal tray (2); 1,500 sheet tray; 1,000 sheet tray</t>
  </si>
  <si>
    <t>8 GB RAM</t>
  </si>
  <si>
    <t>208 V / 60 Hz, 20A</t>
  </si>
  <si>
    <t>26.4"(W) 32.3"(D) 48.3"(H)</t>
  </si>
  <si>
    <t>445 lbs</t>
  </si>
  <si>
    <t>ACVW015</t>
  </si>
  <si>
    <t>bizhub 850i</t>
  </si>
  <si>
    <t>A8H9WY1</t>
  </si>
  <si>
    <t>A8HAWY2</t>
  </si>
  <si>
    <t>A92D011</t>
  </si>
  <si>
    <t>FK-516 Fax Kit</t>
  </si>
  <si>
    <t>4623486</t>
  </si>
  <si>
    <t>A0G5WY0</t>
  </si>
  <si>
    <t>MK-715 Banner Paper Mount Kit</t>
  </si>
  <si>
    <t>A8HDWY2</t>
  </si>
  <si>
    <t>OT-508 Output Tray</t>
  </si>
  <si>
    <t>A5C1192104</t>
  </si>
  <si>
    <t>A8C6WY3</t>
  </si>
  <si>
    <t>ACDKWY2</t>
  </si>
  <si>
    <t>ACDMWY2</t>
  </si>
  <si>
    <t xml:space="preserve">UPGRADE KIT UK-221 </t>
  </si>
  <si>
    <t>ACWCWY2</t>
  </si>
  <si>
    <t xml:space="preserve">KONICA MINOLTA bizhub 950i Black and White Digital Copier </t>
  </si>
  <si>
    <t>95 pages per minute</t>
  </si>
  <si>
    <t>ACVX015</t>
  </si>
  <si>
    <t>bizhub 950i</t>
  </si>
  <si>
    <t xml:space="preserve"> </t>
  </si>
  <si>
    <t>A006R80</t>
  </si>
  <si>
    <t>A006R73</t>
  </si>
  <si>
    <t>Monochrome Laser Printer</t>
  </si>
  <si>
    <t>7.2 seconds</t>
  </si>
  <si>
    <t>Up to 1610 sheets</t>
  </si>
  <si>
    <t>256MB Standard</t>
  </si>
  <si>
    <t>14.7”x15.3”x11.3”</t>
  </si>
  <si>
    <t>27 lbs.</t>
  </si>
  <si>
    <t>MAINTENANCE OPTION - 24</t>
  </si>
  <si>
    <t>No Copies Included</t>
  </si>
  <si>
    <t>*Maintenance Does Not Include Toner**</t>
  </si>
  <si>
    <r>
      <t xml:space="preserve">Segment Option </t>
    </r>
    <r>
      <rPr>
        <b/>
        <i/>
        <sz val="16"/>
        <rFont val="Tahoma"/>
        <family val="2"/>
      </rPr>
      <t>Standard Configuration Only</t>
    </r>
  </si>
  <si>
    <t>PTL5A</t>
  </si>
  <si>
    <t>LEXMARK M1246 Printer</t>
  </si>
  <si>
    <r>
      <t xml:space="preserve">With its powerful processor, up-to 46 page-per-minute* output, enhanced security and built-in durability, the M1246 supports the success of mid-size workgroups in all their mono printing.
</t>
    </r>
    <r>
      <rPr>
        <sz val="12"/>
        <rFont val="Tahoma"/>
        <family val="2"/>
      </rPr>
      <t>**Picture below may show optional accessories not included with the base configuration. Consult VBS Sales Professional for product information.</t>
    </r>
  </si>
  <si>
    <t>Printer</t>
  </si>
  <si>
    <t>Monochrome Laser</t>
  </si>
  <si>
    <t>46 ppm</t>
  </si>
  <si>
    <t>6 seconds</t>
  </si>
  <si>
    <t>Up to 2000 sheets</t>
  </si>
  <si>
    <t>512MB Standard</t>
  </si>
  <si>
    <t>AC110 - 120V, 50/60Hz</t>
  </si>
  <si>
    <t>10.2 x 15.7 x 14.7 in.</t>
  </si>
  <si>
    <t>31.1 lbs.</t>
  </si>
  <si>
    <t>36S0320</t>
  </si>
  <si>
    <t>Lexmark M1246</t>
  </si>
  <si>
    <t>36S2910</t>
  </si>
  <si>
    <t>250-Sheet Tray</t>
  </si>
  <si>
    <t>36S3110</t>
  </si>
  <si>
    <t>550-Sheet Tray</t>
  </si>
  <si>
    <t>36S3120</t>
  </si>
  <si>
    <t>550-Sheet Lockable Tray</t>
  </si>
  <si>
    <t>57X9801</t>
  </si>
  <si>
    <t>256MB User Flash Memory</t>
  </si>
  <si>
    <t>27X6510</t>
  </si>
  <si>
    <t>Marknet N8370 (Rear Wifi)</t>
  </si>
  <si>
    <t>40C9200</t>
  </si>
  <si>
    <t>Forms and Bar Code Card</t>
  </si>
  <si>
    <t>40C9201</t>
  </si>
  <si>
    <t>IPDS Card</t>
  </si>
  <si>
    <t>40C9202</t>
  </si>
  <si>
    <t>PRESCRIBE Card</t>
  </si>
  <si>
    <t>57X9810</t>
  </si>
  <si>
    <t>Traditional Chinese Font Card</t>
  </si>
  <si>
    <t>57X9812</t>
  </si>
  <si>
    <t>Simplified Chinese Font Card</t>
  </si>
  <si>
    <t>57X9814</t>
  </si>
  <si>
    <t>Korean Font Card</t>
  </si>
  <si>
    <t>57X9815</t>
  </si>
  <si>
    <t>Japanese Font Card</t>
  </si>
  <si>
    <t>SPD0001</t>
  </si>
  <si>
    <t>Surge Protective Device 110-120V</t>
  </si>
  <si>
    <t>HP LaserJet Pro M102w Printer</t>
  </si>
  <si>
    <r>
      <t xml:space="preserve">Keep things simple with an affordable HP LaserJet Pro powered by JetIntelligence Toner cartridges. Produce professional documents from a range of mobile devices and help save energy with a compact laser printer designed for efficiency. Ideal for small businesses that want to produce consistent, professional-quality documents from an affordable wireless printer.
</t>
    </r>
    <r>
      <rPr>
        <sz val="12"/>
        <rFont val="Tahoma"/>
        <family val="2"/>
      </rPr>
      <t>**Picture below may show optional accessories not included with the base configuration. Consult VBS Sales Professional for product information.</t>
    </r>
  </si>
  <si>
    <t>Laser printer</t>
  </si>
  <si>
    <t xml:space="preserve">23 ppm </t>
  </si>
  <si>
    <t>1,200 x 1,200 dpi, 600 x 600 dpi</t>
  </si>
  <si>
    <t>Approx 7.3 seconds</t>
  </si>
  <si>
    <t>4" x 6" to 8.5" x 14" / custom paper sizes</t>
  </si>
  <si>
    <t>128 MB</t>
  </si>
  <si>
    <t>110-volt input voltage: 110 to 127 VAC (+/- 10%), 60 Hz/50 Hz, 4.6 A</t>
  </si>
  <si>
    <t>14.358 x 9.736 x 7.504" (W x D x H)</t>
  </si>
  <si>
    <t>10.36 lbs</t>
  </si>
  <si>
    <t>G3Q35A#BGJ</t>
  </si>
  <si>
    <t>LaserJet Pro M102w Printer</t>
  </si>
  <si>
    <t>MAINTENANCE OPTION - 25</t>
  </si>
  <si>
    <t>LEXMARK M3250 Printer</t>
  </si>
  <si>
    <r>
      <t xml:space="preserve">The Lexmark M3250 prints up to 50 pages per minute* and offers the versatility of e-Task, enhanced security and built-in durability.
</t>
    </r>
    <r>
      <rPr>
        <sz val="12"/>
        <rFont val="Tahoma"/>
        <family val="2"/>
      </rPr>
      <t>**Picture below may show optional accessories not included with the base configuration. Consult VBS Sales Professional for product information.</t>
    </r>
  </si>
  <si>
    <t>50 ppm</t>
  </si>
  <si>
    <t>Up to 2300 sheets</t>
  </si>
  <si>
    <t>1024MB Standard</t>
  </si>
  <si>
    <t>11.9 x 15.7 x 14.7 in.</t>
  </si>
  <si>
    <t>35.5 lbs.</t>
  </si>
  <si>
    <t>36S0520</t>
  </si>
  <si>
    <t>Lexmark M3250</t>
  </si>
  <si>
    <t>27X0500</t>
  </si>
  <si>
    <t>500GB Hard Disk Drive (USB)</t>
  </si>
  <si>
    <t>27X0900</t>
  </si>
  <si>
    <t>RS-232C Serial Interface Card</t>
  </si>
  <si>
    <t>27X0901</t>
  </si>
  <si>
    <t>Parallel 1284-B Interface Card</t>
  </si>
  <si>
    <t>27X6410</t>
  </si>
  <si>
    <t>Marknet N8372 (Front Wifi- FSM)</t>
  </si>
  <si>
    <t>57X0301</t>
  </si>
  <si>
    <t>Contactless Authentication Device</t>
  </si>
  <si>
    <t>HP LaserJet Pro M203dw Printer</t>
  </si>
  <si>
    <t xml:space="preserve">30 ppm </t>
  </si>
  <si>
    <t>Approx 6.6 seconds</t>
  </si>
  <si>
    <t>110-volt input voltage: 110 to 127 VAC (+/- 10%), 60 Hz/50 Hz, 5.4 A</t>
  </si>
  <si>
    <t>14.6 x 16 x 8.8" (W x D x H)</t>
  </si>
  <si>
    <t>15.2 lbs</t>
  </si>
  <si>
    <t>G3Q47A#BGJ</t>
  </si>
  <si>
    <t>LaserJet Pro M203dw Printer</t>
  </si>
  <si>
    <t>KONICA MINOLTA bizhub 4701i Monochrome Printer</t>
  </si>
  <si>
    <r>
      <t xml:space="preserve">The latest addition to the new generation of the bizhub A4 series, the bizhub 4701i monochrome single function printer. The updated A4 model maintains the company’s objective to create value, ease and convenience for our customers while also taking into consideration a changed work environment with more people working from home. The A4 SFP incorporates features that are simple enough for use at home yet still offer advanced features for a professional office setup. The bizhub 4701i replaces the 4702P. The specifications of the 4701i will be essentially the same as the C4000i/C3300i, except for the speed and monochrome printing.
</t>
    </r>
    <r>
      <rPr>
        <sz val="12"/>
        <rFont val="Tahoma"/>
        <family val="2"/>
      </rPr>
      <t>**Picture below may show optional accessories not included with the base configuration. Consult VBS Sales Professional for product information.</t>
    </r>
  </si>
  <si>
    <t>7.4 seconds</t>
  </si>
  <si>
    <t>Up to 1600 sheets</t>
  </si>
  <si>
    <t>4GB Standard</t>
  </si>
  <si>
    <t>110-127V / 50/60 Hz</t>
  </si>
  <si>
    <t>16.5” x 20.8” x 18.6”</t>
  </si>
  <si>
    <t>64 lbs.</t>
  </si>
  <si>
    <t>MAINTENANCE OPTION - 26</t>
  </si>
  <si>
    <t xml:space="preserve">	ACTA017</t>
  </si>
  <si>
    <r>
      <t xml:space="preserve">	bizhub 4701i</t>
    </r>
    <r>
      <rPr>
        <sz val="16"/>
        <rFont val="Arial"/>
        <family val="2"/>
      </rPr>
      <t xml:space="preserve"> Monochrome Printer</t>
    </r>
  </si>
  <si>
    <t>AU-205HGEN2  SQ-2020-94643 AU-205H IC Card Reader</t>
  </si>
  <si>
    <t>7640019090</t>
  </si>
  <si>
    <t xml:space="preserve">BIZHUB SECURE HEALTHCARE SMALL MFP DLR </t>
  </si>
  <si>
    <t xml:space="preserve">BIZHUB SECURE PLATINUM SMALL MFP DLR </t>
  </si>
  <si>
    <t>7640018746</t>
  </si>
  <si>
    <t xml:space="preserve">BIZHUB SECURE SMALL MFP DLR </t>
  </si>
  <si>
    <t xml:space="preserve">CS-2 Convenience Stapler </t>
  </si>
  <si>
    <t>ACCHWY1</t>
  </si>
  <si>
    <t>EK-P10 Local Interface Kit-NFC</t>
  </si>
  <si>
    <t>ACCEWY1</t>
  </si>
  <si>
    <t>KP-P03 10-Key Pad</t>
  </si>
  <si>
    <t xml:space="preserve">Paper Tray Lock </t>
  </si>
  <si>
    <t xml:space="preserve">PF-P28 Paper Feed Unit </t>
  </si>
  <si>
    <t>LEXMARK M5255 Printer</t>
  </si>
  <si>
    <r>
      <t xml:space="preserve">The Lexmark M5255 combines a first page as fast as 4.5 seconds and impressive output speed with a 4.3-inch touch screen offering productivity-enhancing apps.
</t>
    </r>
    <r>
      <rPr>
        <sz val="12"/>
        <rFont val="Tahoma"/>
        <family val="2"/>
      </rPr>
      <t>**Picture below may show optional accessories not included with the base configuration. Consult VBS Sales Professional for product information.</t>
    </r>
  </si>
  <si>
    <t>55 ppm</t>
  </si>
  <si>
    <t>4.5 seconds</t>
  </si>
  <si>
    <t>Up to 4400 sheets</t>
  </si>
  <si>
    <t>17.4 x 16.85 x 20.1 in.</t>
  </si>
  <si>
    <t>56.4 lbs.</t>
  </si>
  <si>
    <t>50G0720</t>
  </si>
  <si>
    <t>Lexmark M5255</t>
  </si>
  <si>
    <t>50G0800</t>
  </si>
  <si>
    <t xml:space="preserve"> 250-Sheet Tray</t>
  </si>
  <si>
    <t>50G0801</t>
  </si>
  <si>
    <t xml:space="preserve"> 250-Sheet Tray Insert</t>
  </si>
  <si>
    <t>50G0820</t>
  </si>
  <si>
    <t xml:space="preserve"> 250-Sheet Lockable Tray</t>
  </si>
  <si>
    <t>50G0802</t>
  </si>
  <si>
    <t xml:space="preserve"> 550-Sheet Tray</t>
  </si>
  <si>
    <t>50G0803</t>
  </si>
  <si>
    <t xml:space="preserve"> 550-Sheet Tray Insert</t>
  </si>
  <si>
    <t>50G0822</t>
  </si>
  <si>
    <t xml:space="preserve"> 550-Sheet Lockable Tray</t>
  </si>
  <si>
    <t>50G0804</t>
  </si>
  <si>
    <t xml:space="preserve"> 2100-Sheet Tray</t>
  </si>
  <si>
    <t>50G0850</t>
  </si>
  <si>
    <t xml:space="preserve"> Staple Finisher</t>
  </si>
  <si>
    <t>50G0852</t>
  </si>
  <si>
    <t xml:space="preserve"> 4-Bin Mailbox</t>
  </si>
  <si>
    <t>50G0849</t>
  </si>
  <si>
    <t xml:space="preserve"> Staple, Hole Punch Finisher</t>
  </si>
  <si>
    <t>50G0851</t>
  </si>
  <si>
    <t>MS7/MS8 Output Expander</t>
  </si>
  <si>
    <t>50G0853</t>
  </si>
  <si>
    <t>MS7/MS8 High Capacity Output Expander</t>
  </si>
  <si>
    <t>500GB Hard Disk Drive (SATA)</t>
  </si>
  <si>
    <t>57X0204</t>
  </si>
  <si>
    <t>Memory Expansion (4GB) DDR3</t>
  </si>
  <si>
    <t>14F0100</t>
  </si>
  <si>
    <t>14F0000</t>
  </si>
  <si>
    <t>27X0142</t>
  </si>
  <si>
    <t>MarkNet N8230 Fiber Ethernet 100BASE-FX(LC), 1000BASE-SX(LC)</t>
  </si>
  <si>
    <t>10-Foot Parallel Printer Cable</t>
  </si>
  <si>
    <t>2-meter USB Printer Cable</t>
  </si>
  <si>
    <t>HP LaserJet Pro M404n Printer</t>
  </si>
  <si>
    <r>
      <t xml:space="preserve">Winning in business means working smarter. The HP LaserJet Pro M404 printer is designed to let you focus your time where it’s most effective-helping to grow your business and staying ahead of the competition. Workteams excel with HP’s black-and-white office LaserJet printers, which pack extra punch with high-quality results, extra power, and more features.
</t>
    </r>
    <r>
      <rPr>
        <sz val="12"/>
        <rFont val="Tahoma"/>
        <family val="2"/>
      </rPr>
      <t>**Picture below may show optional accessories not included with the base configuration. Consult VBS Sales Professional for product information.</t>
    </r>
  </si>
  <si>
    <t xml:space="preserve">40 ppm </t>
  </si>
  <si>
    <t>Approx 6.1 seconds</t>
  </si>
  <si>
    <t>110-volt input voltage: 110 to 127 VAC (+/- 10%), 50/60 Hz (+/- 2 Hz)</t>
  </si>
  <si>
    <t>15 x 14.06 x 8.5" (W x D x H)</t>
  </si>
  <si>
    <t>18.12 lbs</t>
  </si>
  <si>
    <t>W1A52A#BGJ</t>
  </si>
  <si>
    <t>LaserJet Pro M404n Printer</t>
  </si>
  <si>
    <t>LEXMARK XC2235 Color Printer</t>
  </si>
  <si>
    <r>
      <t xml:space="preserve">The multifunction Lexmark XC2235 builds on output of up to 35 pages per minute* with a 4.3-inch [10.9-cm] color touch screen.
</t>
    </r>
    <r>
      <rPr>
        <sz val="12"/>
        <rFont val="Tahoma"/>
        <family val="2"/>
      </rPr>
      <t>**Picture below may show optional accessories not included with the base configuration. Consult VBS Sales Professional for product information.</t>
    </r>
  </si>
  <si>
    <t>Color Laser</t>
  </si>
  <si>
    <t>Black: 35 ppm / Color: 35 ppm</t>
  </si>
  <si>
    <t>Black: &lt;8.5 seconds / Color: &lt;8.5 seconds</t>
  </si>
  <si>
    <t>Up to 1451 sheets</t>
  </si>
  <si>
    <t>2048MB Standard</t>
  </si>
  <si>
    <t>18.2 x 17.4 x 23.1 in.</t>
  </si>
  <si>
    <t>60 lbs.</t>
  </si>
  <si>
    <t>MAINTENANCE OPTION - 27</t>
  </si>
  <si>
    <t>42C7306</t>
  </si>
  <si>
    <t>Lexmark XC2235</t>
  </si>
  <si>
    <t>42C7550</t>
  </si>
  <si>
    <t>42C7650</t>
  </si>
  <si>
    <t>650-Sheet Duo Tray</t>
  </si>
  <si>
    <t>27X0400</t>
  </si>
  <si>
    <t>Forms and Barcode Card</t>
  </si>
  <si>
    <t>Card for IPDS</t>
  </si>
  <si>
    <t>Card for Prescribe Emulation</t>
  </si>
  <si>
    <t>Marknet N8327 802.11 a/b/c/g/n/ac Wireless Print Server</t>
  </si>
  <si>
    <t>HP Color LaserJet Pro M254dw</t>
  </si>
  <si>
    <r>
      <t xml:space="preserve">Impress with color and increase efficiency. Achieve the fastest in-class two-sided printing speed and First Page Out Time (FPOT). Count on intuitive security solutions, produce extraordinary color prints, and get easy mobile printing. Consumers and professionals. HP personal Color Laser printers produce brilliant, affordable results that get you the recognition you deserve.
</t>
    </r>
    <r>
      <rPr>
        <sz val="12"/>
        <rFont val="Tahoma"/>
        <family val="2"/>
      </rPr>
      <t>**Picture below may show optional accessories not included with the base configuration. Consult VBS Sales Professional for product information.</t>
    </r>
  </si>
  <si>
    <t>Full-Color Laser printer</t>
  </si>
  <si>
    <t>22 ppm Color &amp; B&amp;W</t>
  </si>
  <si>
    <t>Color: 11.8 seconds, Monochrome: 10.2 seconds</t>
  </si>
  <si>
    <t>256 MB (standard)</t>
  </si>
  <si>
    <t>110-volt input voltage: 110 to 127 VAC (+/- 10%), 50 Hz (+/- 3 Hz) , 60 Hz (+/- 3 Hz)</t>
  </si>
  <si>
    <t>15.4 x 16.5 x 9.7" (W x D x H)</t>
  </si>
  <si>
    <t>32.6 lb</t>
  </si>
  <si>
    <t>T6B60A#BGJ</t>
  </si>
  <si>
    <t>Color LaserJet Pro M254dw</t>
  </si>
  <si>
    <t>LEXMARK C4150 Color Printer</t>
  </si>
  <si>
    <r>
      <t xml:space="preserve">Combining the capabilities of a workgroup printer with the ease of use of a personal output device, the C4150 features advanced security in a simple, intuitive design.
</t>
    </r>
    <r>
      <rPr>
        <sz val="12"/>
        <rFont val="Tahoma"/>
        <family val="2"/>
      </rPr>
      <t>**Picture below may show optional accessories not included with the base configuration. Consult VBS Sales Professional for product information.</t>
    </r>
  </si>
  <si>
    <t>Black: 50 ppm / Color: 50 ppm</t>
  </si>
  <si>
    <t>Black: &lt;5 seconds / Color: &lt;5.5 seconds</t>
  </si>
  <si>
    <t>16.4 x 18.7 x 19.65 in.</t>
  </si>
  <si>
    <t>80 lbs.</t>
  </si>
  <si>
    <t>MAINTENANCE OPTION - 28</t>
  </si>
  <si>
    <t>40C9054</t>
  </si>
  <si>
    <t>Lexmark C4150</t>
  </si>
  <si>
    <t>40C2100</t>
  </si>
  <si>
    <t>40C2300</t>
  </si>
  <si>
    <t>Adjustable Stand</t>
  </si>
  <si>
    <t>27X0803</t>
  </si>
  <si>
    <t>MarkNet N8360 802.11 Wireless w/NFC</t>
  </si>
  <si>
    <t>57X9020</t>
  </si>
  <si>
    <t>2GB x32 DDR3 RAM</t>
  </si>
  <si>
    <t>500GB+ Hard Disk Drive (SATA)</t>
  </si>
  <si>
    <t>HP Color LaserJet Pro M454dn</t>
  </si>
  <si>
    <r>
      <t xml:space="preserve">Winning in business means working smarter. The HP Color LaserJet Pro M454 printer is designed to let you focus your time where it’s most effective-helping to grow your business and staying ahead of the competition. Workteams will create high-impact documents that get noticed with the brilliant color delivered by HP office Color Laser printers.
</t>
    </r>
    <r>
      <rPr>
        <sz val="12"/>
        <rFont val="Tahoma"/>
        <family val="2"/>
      </rPr>
      <t>**Picture below may show optional accessories not included with the base configuration. Consult VBS Sales Professional for product information.</t>
    </r>
  </si>
  <si>
    <t>28 ppm Color &amp; B&amp;W</t>
  </si>
  <si>
    <t>Color: 11.1 seconds, Monochrome: 9.5 seconds</t>
  </si>
  <si>
    <t>110-volt input voltage: 110 to 127 VAC</t>
  </si>
  <si>
    <t>18 x 18.9 x 15.7" (W x D x H)</t>
  </si>
  <si>
    <t>59.5 lb</t>
  </si>
  <si>
    <t>W1Y44A#BGJ</t>
  </si>
  <si>
    <t>CF404A</t>
  </si>
  <si>
    <t>550 Sheet Feeder Tray</t>
  </si>
  <si>
    <t>LEXMARK C6160 Color Printer</t>
  </si>
  <si>
    <r>
      <t xml:space="preserve">The Lexmark C6160 color printer brings production-level performance and quality to the office, with the most advanced imaging technology available.
</t>
    </r>
    <r>
      <rPr>
        <sz val="12"/>
        <rFont val="Tahoma"/>
        <family val="2"/>
      </rPr>
      <t>**Picture below may show optional accessories not included with the base configuration. Consult VBS Sales Professional for product information.</t>
    </r>
  </si>
  <si>
    <t>Black: 60 ppm / Color: 60 ppm</t>
  </si>
  <si>
    <t>Black: &lt;7 seconds / Color: &lt;7 seconds</t>
  </si>
  <si>
    <t>Up to 4500 sheets</t>
  </si>
  <si>
    <t>21.12 x 22 x 20.6 in.</t>
  </si>
  <si>
    <t>137 lbs.</t>
  </si>
  <si>
    <t>MAINTENANCE OPTION - 29</t>
  </si>
  <si>
    <t>21K0300</t>
  </si>
  <si>
    <t>Lexmark C6160</t>
  </si>
  <si>
    <t>21K0237</t>
  </si>
  <si>
    <t>2200-Sheet Tray</t>
  </si>
  <si>
    <t>21K0567</t>
  </si>
  <si>
    <t>21K0787</t>
  </si>
  <si>
    <t>Envelope Tray</t>
  </si>
  <si>
    <t>42K2000</t>
  </si>
  <si>
    <t>Inline Stapler</t>
  </si>
  <si>
    <t>320+GB Hard Disk Drive</t>
  </si>
  <si>
    <t>21K2501</t>
  </si>
  <si>
    <t>Caster Base</t>
  </si>
  <si>
    <t>57X9022</t>
  </si>
  <si>
    <t>2GB x 64 DDR3 RAM</t>
  </si>
  <si>
    <t>HP Color LaserJet Enterprise M555dn</t>
  </si>
  <si>
    <r>
      <t xml:space="preserve">Give workgroups what they need to succeed. Easily choose and deploy hundreds of HP and third-party solutions.
</t>
    </r>
    <r>
      <rPr>
        <sz val="12"/>
        <rFont val="Tahoma"/>
        <family val="2"/>
      </rPr>
      <t>**Picture below may show optional accessories not included with the base configuration. Consult VBS Sales Professional for product information.</t>
    </r>
  </si>
  <si>
    <t>40 ppm Color &amp; B&amp;W</t>
  </si>
  <si>
    <t>Color: 7.5 seconds, Monochrome: 6 seconds</t>
  </si>
  <si>
    <t>1 GB (standard)</t>
  </si>
  <si>
    <t>100 to 127 VAC, 60 Hz</t>
  </si>
  <si>
    <t>18 x 18.9 x 15" (W x D x H)</t>
  </si>
  <si>
    <t>60.6 lb</t>
  </si>
  <si>
    <t xml:space="preserve"> 7ZU78A#BGJ</t>
  </si>
  <si>
    <t>Color LaserJet Enterprise M555dn</t>
  </si>
  <si>
    <t>2NR03A</t>
  </si>
  <si>
    <t>HP 1 GB 90-pin DDR3 DIMM</t>
  </si>
  <si>
    <t>G6W84A</t>
  </si>
  <si>
    <t>2MU47A</t>
  </si>
  <si>
    <t>HP Accessibility Assistant</t>
  </si>
  <si>
    <t>B5L34A</t>
  </si>
  <si>
    <t>HP Color LaserJet 550-sheet Media Tray</t>
  </si>
  <si>
    <t>B5L51A</t>
  </si>
  <si>
    <t>HP Color LaserJet Printer Cabinet</t>
  </si>
  <si>
    <t>B5L29A</t>
  </si>
  <si>
    <t>HP High-Performance Secure Hard Disk</t>
  </si>
  <si>
    <t>Y7C05A</t>
  </si>
  <si>
    <t>HP HIP2 Keystroke Reader</t>
  </si>
  <si>
    <t>B5L28A</t>
  </si>
  <si>
    <t>HP Internal USB Ports</t>
  </si>
  <si>
    <t>3JN69A</t>
  </si>
  <si>
    <t>HP Jetdirect 3100w BLE/NFC/Wireless Accessory</t>
  </si>
  <si>
    <t>8FP31A</t>
  </si>
  <si>
    <t>HP Jetdirect LAN Accessory</t>
  </si>
  <si>
    <t>4QL32A</t>
  </si>
  <si>
    <t>HP Legic Secure USB Reader</t>
  </si>
  <si>
    <t>HG277TT</t>
  </si>
  <si>
    <t>HP MICR Printing Solution - USB</t>
  </si>
  <si>
    <t>2NR12A</t>
  </si>
  <si>
    <t>HP Removable Hard Drive Enclosure</t>
  </si>
  <si>
    <t>CC543B</t>
  </si>
  <si>
    <t>HP SmartCard NIPRNet Solution for US Government</t>
  </si>
  <si>
    <t>5EL03A</t>
  </si>
  <si>
    <t>HP TAA Version Secure Hard Disk Drive</t>
  </si>
  <si>
    <t>X3D03A</t>
  </si>
  <si>
    <t>HP USB Universal Card Reader</t>
  </si>
  <si>
    <t>MAINTENANCE OPTION - 30</t>
  </si>
  <si>
    <t xml:space="preserve">3 Year Maintenance </t>
  </si>
  <si>
    <t>*Maintenance Does Not Include Ink**</t>
  </si>
  <si>
    <t>Purchase Price + 
3 Year Maintenance</t>
  </si>
  <si>
    <t>OPTIONAL ACCESSORIES / FREIGHT SPECIAL SERVICES</t>
  </si>
  <si>
    <t>PPEHDKITK</t>
  </si>
  <si>
    <t>INSIDEDEL</t>
  </si>
  <si>
    <t>KIP800FLIFT</t>
  </si>
  <si>
    <t>PALLETJACK</t>
  </si>
  <si>
    <t>REMDUNN</t>
  </si>
  <si>
    <t>TMPUD</t>
  </si>
  <si>
    <t>UNCRATE</t>
  </si>
  <si>
    <t>K1AKC00070</t>
  </si>
  <si>
    <t>MAINTENANCE OPTION - 31</t>
  </si>
  <si>
    <t>KIP Accounting and Cost Center</t>
  </si>
  <si>
    <t>KIP 7171K6 MULTIFUNCTION SYSTEM</t>
  </si>
  <si>
    <r>
      <t xml:space="preserve">The KIP 7170 is a powerful, modular solution for wide-format printing in any production environment, with simple multi-touch control on a vivid 12.1” screen, high-definition print technology, integrated print control software and a variety of system configurations to fit the needs of your application.
</t>
    </r>
    <r>
      <rPr>
        <sz val="10"/>
        <rFont val="Tahoma"/>
        <family val="2"/>
      </rPr>
      <t>**Picture below may show optional accessories not included with the base configuration. Consult VBS Sales Professional for product information.</t>
    </r>
  </si>
  <si>
    <t>MAINTENANCE OPTION - 40</t>
  </si>
  <si>
    <t xml:space="preserve">Annual Maintenance </t>
  </si>
  <si>
    <t>*Maintenance Does Not Include Toner*</t>
  </si>
  <si>
    <t>72 Month</t>
  </si>
  <si>
    <t>84 Month</t>
  </si>
  <si>
    <t>EQAC070</t>
  </si>
  <si>
    <t>Rear Print Receiving Tray *May be used in conjunction with top stacking</t>
  </si>
  <si>
    <t>EQAC071</t>
  </si>
  <si>
    <t>Original and Print Receiving Tray</t>
  </si>
  <si>
    <t>MACH1200S</t>
  </si>
  <si>
    <t>KIP 1200 Auto Stacker</t>
  </si>
  <si>
    <t>EQACCACKIT</t>
  </si>
  <si>
    <t>Common Access Card (CAC) Identification device used for DoD authentification</t>
  </si>
  <si>
    <t>Removable Secure Hard Drive Connection Ki</t>
  </si>
  <si>
    <t>DIGPDF-7170K</t>
  </si>
  <si>
    <t>PDF Format Printing Keycode</t>
  </si>
  <si>
    <t>TOTAL 72 MONTHS</t>
  </si>
  <si>
    <t>TOTAL 84 MONTHS</t>
  </si>
  <si>
    <t>HP PageWide XL 3900 Multifunction Printer</t>
  </si>
  <si>
    <r>
      <t xml:space="preserve">Save time, space and money with a single end-to-end solution for printing both mono and color. Keep up with your workload with faster print speeds than LED.
</t>
    </r>
    <r>
      <rPr>
        <sz val="10"/>
        <rFont val="Tahoma"/>
        <family val="2"/>
      </rPr>
      <t>**Picture below may show optional accessories not included with the base configuration. Consult VBS Sales Professional for product information.</t>
    </r>
  </si>
  <si>
    <t>6CC85</t>
  </si>
  <si>
    <t>G6H50A</t>
  </si>
  <si>
    <t xml:space="preserve"> Designjet SD Stand Alone Scanner</t>
  </si>
  <si>
    <t>G6H51A</t>
  </si>
  <si>
    <t xml:space="preserve"> Designjet HD Stand Alone Scanner</t>
  </si>
  <si>
    <t>P7V13A</t>
  </si>
  <si>
    <t xml:space="preserve"> Pro Scanner Output Tray</t>
  </si>
  <si>
    <t>L3J69AAE</t>
  </si>
  <si>
    <t xml:space="preserve"> SmartStream Preflight Manager</t>
  </si>
  <si>
    <t>L3J69A</t>
  </si>
  <si>
    <t xml:space="preserve"> SmartStream Preflight Manager - Dongle</t>
  </si>
  <si>
    <t>L3J76AAE</t>
  </si>
  <si>
    <t xml:space="preserve"> SmartStream Print Controller for  PageWide XL 3900</t>
  </si>
  <si>
    <t>L3J76A</t>
  </si>
  <si>
    <t xml:space="preserve"> SmartStream Print Controller for  PageWide XL 3900 -Dongle</t>
  </si>
  <si>
    <t>2NH46AAE</t>
  </si>
  <si>
    <t xml:space="preserve"> SmartStream Document Organizer Module - EON</t>
  </si>
  <si>
    <t>2NH47AAE</t>
  </si>
  <si>
    <t xml:space="preserve"> SmartStream Pixel Analysis Module - EON</t>
  </si>
  <si>
    <t>Z8J18AAE</t>
  </si>
  <si>
    <t xml:space="preserve"> SmartTracker License -EON</t>
  </si>
  <si>
    <t>Z8J18A</t>
  </si>
  <si>
    <t xml:space="preserve"> SmartTracker License -Dongle</t>
  </si>
  <si>
    <t>KIP 7582 MULTIFUNCTION SYSTEM</t>
  </si>
  <si>
    <t>MAINTENANCE OPTION - 41</t>
  </si>
  <si>
    <t>SYS7582K10</t>
  </si>
  <si>
    <t>DIGPDF-7570K</t>
  </si>
  <si>
    <t xml:space="preserve">HP PageWide XL 4200 Printer </t>
  </si>
  <si>
    <r>
      <t xml:space="preserve">Don’t waste time waiting on prints with high-productivity monochrome and color speeds up to 15 D/A1 per minute. Produce excellent technical prints. Save with low running costs in mono and color and with up to 10 times lower energy consumption. Experience easy printing and workflow efficiency with HP software. Easily operate from the front and the back with the market’s largest 15-inch touchscreen. Scan on the fly, and easily collaborate—print, save, and share right away. Enjoy the best network protection with HP Connection Inspector dynamic security, HP Secure Boot, and Whitelisting. Keep your fleet secure and set security preferences, anytime. Control who accesses the printer with secure user authentication.
</t>
    </r>
    <r>
      <rPr>
        <sz val="10"/>
        <rFont val="Tahoma"/>
        <family val="2"/>
      </rPr>
      <t>**Picture below may show optional accessories not included with the base configuration. Consult VBS Sales Professional for product information.</t>
    </r>
  </si>
  <si>
    <t>4VW13F</t>
  </si>
  <si>
    <t>8SB02A</t>
  </si>
  <si>
    <t>PageWide XL Media Drawer</t>
  </si>
  <si>
    <t>G6H50BB1K</t>
  </si>
  <si>
    <t>Designjet SD Pro Scanner</t>
  </si>
  <si>
    <t>5EK00AB1K</t>
  </si>
  <si>
    <t>HD Pro 2 42In Scanner</t>
  </si>
  <si>
    <t>5EK00DBCB</t>
  </si>
  <si>
    <t>HD Pro 2 42In Scanner Taa-Compliant</t>
  </si>
  <si>
    <t>Pro Scanner Output Tray</t>
  </si>
  <si>
    <t>8SW00A</t>
  </si>
  <si>
    <t>Smartstream Preflight Manager Dongle</t>
  </si>
  <si>
    <t>8SW00AAE</t>
  </si>
  <si>
    <t>Smartstream Preflight Manager EON</t>
  </si>
  <si>
    <t>8SW03A</t>
  </si>
  <si>
    <t>Smartstream Prt Ctr For Pw 4X0 Dongle</t>
  </si>
  <si>
    <t>8SW03AAE</t>
  </si>
  <si>
    <t>Smartstream Prt Ctr For Pw 4X00 EON</t>
  </si>
  <si>
    <t>Smartstream Document Organizer Module</t>
  </si>
  <si>
    <t>Smartstream Pixel Analysis Module</t>
  </si>
  <si>
    <t>8SW13A</t>
  </si>
  <si>
    <t>Smarttracker For Pw 4X00 Dongle</t>
  </si>
  <si>
    <t>8SW13AAE</t>
  </si>
  <si>
    <t>Smarttracker For Pw 4X00 Eon</t>
  </si>
  <si>
    <t>KIP 7984 MULTIFUNCTION SYSTEM</t>
  </si>
  <si>
    <t>MAINTENANCE OPTION - 42</t>
  </si>
  <si>
    <t>SYS7984K14</t>
  </si>
  <si>
    <t>HP PageWide XL 4600 Printer</t>
  </si>
  <si>
    <r>
      <t xml:space="preserve">Do the work of two printers with one—faster and lower cost than LED. Choose a printer or multifunction device that allows you to consolidate into a single device for all your monochrome and color printing/scanning needs. Produce excellent technical prints with vivid color, crisp lines and smooth grayscales that beat LED.
</t>
    </r>
    <r>
      <rPr>
        <sz val="10"/>
        <rFont val="Tahoma"/>
        <family val="2"/>
      </rPr>
      <t>**Picture below may show optional accessories not included with the base configuration. Consult VBS Sales Professional for product information.</t>
    </r>
  </si>
  <si>
    <t>RS312A</t>
  </si>
  <si>
    <t xml:space="preserve">HP PageWide XL 4600 Printer </t>
  </si>
  <si>
    <t>CZ318A</t>
  </si>
  <si>
    <t>Designjet SD Stand Alone Scanner</t>
  </si>
  <si>
    <t>Designjet HD Stand Alone Scanner</t>
  </si>
  <si>
    <t>SmartStream Preflight Manager</t>
  </si>
  <si>
    <t>SmartStream Preflight Manager - Dongle</t>
  </si>
  <si>
    <t>SmartStream Print Controller for HP PageWide XL 4X00</t>
  </si>
  <si>
    <t>SmartStream Print Controller for HP PageWide XL 4X00 -Dongle</t>
  </si>
  <si>
    <t>SmartStream Document Organizer Module - EON</t>
  </si>
  <si>
    <t>SmartStream Pixel Analysis Module - EON</t>
  </si>
  <si>
    <t>2UE10A</t>
  </si>
  <si>
    <t>Click USB for HP PageWide XL  4X00</t>
  </si>
  <si>
    <t>SmartTracker License -EON</t>
  </si>
  <si>
    <t>SmartTracker License -Dongle</t>
  </si>
  <si>
    <t>HP PageWide XL 8000 Printer</t>
  </si>
  <si>
    <r>
      <t xml:space="preserve">See total production cost savings up to 50%. Grow by printing GIS maps and point-of-sale (POS) posters at breakthrough speeds. Produce durable technical documents up to 40-inches (101.6-cm) wide with crisp lines, fine detail, smooth grayscales and vibrant colors.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</si>
  <si>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Large-format color printer</t>
  </si>
  <si>
    <t>Type</t>
  </si>
  <si>
    <t>HP PageWide Technology</t>
  </si>
  <si>
    <t>75 ft/min (23 m/min)</t>
  </si>
  <si>
    <t>No warm up</t>
  </si>
  <si>
    <t>20 sec (from Ready mode)</t>
  </si>
  <si>
    <t>40 x 48 in (102 x 122 cm)17</t>
  </si>
  <si>
    <t>Up to 500 pages</t>
  </si>
  <si>
    <t>16 GB DDR</t>
  </si>
  <si>
    <t>Input voltage (auto ranging) 200-240 V (±10%), 50/60 Hz (±3 Hz), 8 A</t>
  </si>
  <si>
    <t>77.2 x 31.5 x 60.1 in (1960 x 800 x 1527 mm)</t>
  </si>
  <si>
    <t>1054 lb (478 kg)</t>
  </si>
  <si>
    <t>MAINTENANCE OPTION - 42 (A;B;C)</t>
  </si>
  <si>
    <t>B/W Copies Included:</t>
  </si>
  <si>
    <t>Up to 18,000 Square Feet (Annually)</t>
  </si>
  <si>
    <t>Color Copies Included:</t>
  </si>
  <si>
    <t>Up to 96,000 Square Feet (Annually)</t>
  </si>
  <si>
    <t xml:space="preserve"> B/W Overages:</t>
  </si>
  <si>
    <t>$0.00767 Per Square Foot</t>
  </si>
  <si>
    <t>Color Overages:</t>
  </si>
  <si>
    <t>$0.0.03370 Per Square Foot</t>
  </si>
  <si>
    <t>42-A</t>
  </si>
  <si>
    <t>CZ309FBH1</t>
  </si>
  <si>
    <t>G6H51AB1K</t>
  </si>
  <si>
    <t>HP Designjet HD Pro Scanner</t>
  </si>
  <si>
    <t>HP PRO Scanner Output Tray Stacker</t>
  </si>
  <si>
    <t>HP PageWide XL Media Drawer</t>
  </si>
  <si>
    <t>CZ319A</t>
  </si>
  <si>
    <t>HP PageWide XL High Capacity Stacker</t>
  </si>
  <si>
    <t>K5H75AB1K</t>
  </si>
  <si>
    <t>HP PageWide XL Folder</t>
  </si>
  <si>
    <t>HP SmartStream Preflight Manager</t>
  </si>
  <si>
    <t>L3J72AAE</t>
  </si>
  <si>
    <t>HP SmartStream Print License HPPWXL8000</t>
  </si>
  <si>
    <t>HP SmartStream Document Organizer Module</t>
  </si>
  <si>
    <t>HP SmartStream Pixel Analysis Module</t>
  </si>
  <si>
    <t>Z8J14AAE</t>
  </si>
  <si>
    <t>HP SmartTracker HP PageWide XL 8000 Series</t>
  </si>
  <si>
    <t>7670525510</t>
  </si>
  <si>
    <t>Delivery Charge - Level 5</t>
  </si>
  <si>
    <t>7640019943</t>
  </si>
  <si>
    <t>HP PageWide XL Printer Installation &amp; Training</t>
  </si>
  <si>
    <t>7640019944</t>
  </si>
  <si>
    <t>HP PageWide XL Media Drawer Installation</t>
  </si>
  <si>
    <t>7640019946</t>
  </si>
  <si>
    <t>HP PageWide XL HCS Stacker Installation</t>
  </si>
  <si>
    <t>7640019948</t>
  </si>
  <si>
    <t xml:space="preserve">HP SmartStream  Installation </t>
  </si>
  <si>
    <t>7640020533</t>
  </si>
  <si>
    <t>HP PageWide Tipping Tool Logistics</t>
  </si>
  <si>
    <t>HP PageWide XL 5100 Printer</t>
  </si>
  <si>
    <r>
      <t xml:space="preserve">Increase your advantage with this powerful, efficient printer or multifunction device. Speed up production—print up to 20 D/A1 pages/min with accuracy, durability, and vibrant colors. And help keep costs low with efficient and secure workflows.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</si>
  <si>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MAINTENANCE OPTION - 43</t>
  </si>
  <si>
    <t>2RQ08F</t>
  </si>
  <si>
    <t>PageWide XL High Capacity Stacker</t>
  </si>
  <si>
    <t>CZ320A</t>
  </si>
  <si>
    <t>PageWide XL Top Stacker</t>
  </si>
  <si>
    <t>K5H75A#B1K</t>
  </si>
  <si>
    <t>PageWide XL Folder</t>
  </si>
  <si>
    <t>M0V04A</t>
  </si>
  <si>
    <t>PageWide XL Folder Upgrade Kit for Long Plots</t>
  </si>
  <si>
    <t>DesignJet SD Stand Alone Scanner</t>
  </si>
  <si>
    <t>DesignJet HD Stand Alone Scanner</t>
  </si>
  <si>
    <t>L3J74AAE</t>
  </si>
  <si>
    <t>SmartStream Print Controller for HP PageWide XL 5X00</t>
  </si>
  <si>
    <t>L3J74A</t>
  </si>
  <si>
    <t>SmartStream Print Controller for HP PageWide XL 5X00 - Dongle</t>
  </si>
  <si>
    <t>2UE11A</t>
  </si>
  <si>
    <t>Click USB for HP PageWide XL 5100</t>
  </si>
  <si>
    <t>Z8J16AAE</t>
  </si>
  <si>
    <t>Z8J16A</t>
  </si>
  <si>
    <t>HP Designjet T1700 SD Pro MFP</t>
  </si>
  <si>
    <r>
      <t xml:space="preserve">Scan and copy your everyday documents and maps at high speeds without fringing, using the HP DesignJet SD Pro Multifunction Printer and advanced CIS technology. Simplify operation and boost workflow productivity with dual rolls and smart switching.
</t>
    </r>
    <r>
      <rPr>
        <sz val="10"/>
        <rFont val="Tahoma"/>
        <family val="2"/>
      </rPr>
      <t>**Picture below may show optional accessories not included with the base configuration. Consult VBS Sales Professional for product information.</t>
    </r>
  </si>
  <si>
    <t>MAINTENANCE OPTION - 45</t>
  </si>
  <si>
    <t>1GY94A</t>
  </si>
  <si>
    <t>HP Designjet T2600dr MFP</t>
  </si>
  <si>
    <t>MAINTENANCE OPTION - 46</t>
  </si>
  <si>
    <t>HP DesignJet T2600dr PS MFP Printer trade compliant</t>
  </si>
  <si>
    <t>HP Designjet T7100 Roll Upgrade</t>
  </si>
  <si>
    <t>MAINTENANCE OPTION - 47</t>
  </si>
  <si>
    <t>KIP 7171K4 MULTIFUNCTION SYSTEM</t>
  </si>
  <si>
    <t>MAINTENANCE OPTION - 48</t>
  </si>
  <si>
    <t>SYS7171K4</t>
  </si>
  <si>
    <r>
      <t xml:space="preserve">KIP 7171K4 </t>
    </r>
    <r>
      <rPr>
        <sz val="10"/>
        <rFont val="Arial"/>
        <family val="2"/>
      </rPr>
      <t xml:space="preserve">1 Roll Multifunction System- 4D PPM </t>
    </r>
  </si>
  <si>
    <t>HP DesignJet T1600 Printer</t>
  </si>
  <si>
    <r>
      <t xml:space="preserve">Keep the project momentum. With radically simple solutions and the easiest PDF printing, it's easy for everyone to get great results every time. Meet deadlines with the fastest print speed in the most compact, quiet printer. to fit the needs of your application.
</t>
    </r>
    <r>
      <rPr>
        <sz val="10"/>
        <rFont val="Tahoma"/>
        <family val="2"/>
      </rPr>
      <t>**Picture below may show optional accessories not included with the base configuration. Consult VBS Sales Professional for product information.</t>
    </r>
  </si>
  <si>
    <t>3EK11F</t>
  </si>
  <si>
    <t>HP DesignJet T1600dr Printer</t>
  </si>
  <si>
    <r>
      <t xml:space="preserve">Keep the project momentum. With radically simple solutions and the easiest PDF printing, it's easy for everyone to get great results every time. Meet deadlines with the fastest print speed in the most compact, quiet printer.
</t>
    </r>
    <r>
      <rPr>
        <sz val="10"/>
        <rFont val="Tahoma"/>
        <family val="2"/>
      </rPr>
      <t>**Picture below may show optional accessories not included with the base configuration. Consult VBS Sales Professional for product information.</t>
    </r>
  </si>
  <si>
    <t>3EK13F</t>
  </si>
  <si>
    <t>HP OfficeJet 200 Mobile</t>
  </si>
  <si>
    <r>
      <t xml:space="preserve">Make the world your office with powerful portable printing—no network necessary. This quick, quiet printer delivers more pages per cartridge and has a long- lasting battery life. Ideal for mobile professionals and telecommuters who need a high-quality, reliable, portable printer they can take virtually anywhere. 
</t>
    </r>
    <r>
      <rPr>
        <sz val="12"/>
        <rFont val="Tahoma"/>
        <family val="2"/>
      </rPr>
      <t>**Picture below may show optional accessories not included with the base configuration. Consult VBS Sales Professional for product information.</t>
    </r>
  </si>
  <si>
    <t>Mobile Printer</t>
  </si>
  <si>
    <t>HP Thermal Inkjet</t>
  </si>
  <si>
    <t>7 ppm Color &amp; 10 B&amp;W</t>
  </si>
  <si>
    <t>Color: 14 seconds, Monochrome: 12 seconds</t>
  </si>
  <si>
    <t>3 x 8.5 to 4 x 14 in / custom paper sizes</t>
  </si>
  <si>
    <t>128 MB (standard)</t>
  </si>
  <si>
    <t>100 to 240 VAC, 50 to 60 Hz; 200 to 240 VAC, 50 to 60 Hz</t>
  </si>
  <si>
    <t>14.3 x 7.32 x 2.70" (W x D x H)</t>
  </si>
  <si>
    <t>4.85 lb</t>
  </si>
  <si>
    <t>Purchase Price + Annual MA</t>
  </si>
  <si>
    <t>CZ993A</t>
  </si>
  <si>
    <t>M9L89A</t>
  </si>
  <si>
    <t>HP OfficeJet 200 series Battery</t>
  </si>
  <si>
    <t xml:space="preserve">KONICA MINOLTA AccurioPrint 2100 Black and White Digital Copier </t>
  </si>
  <si>
    <r>
      <t xml:space="preserve">The bizhub PRO 1100 black and white digital press delivers real value to your print production environment: high-speed 100 ppm B&amp;W output, high paper and toner capacity, standard built-in print controller and a compact footprint to save space on your production floor.
</t>
    </r>
    <r>
      <rPr>
        <sz val="10"/>
        <rFont val="Tahoma"/>
        <family val="2"/>
      </rPr>
      <t>**Picture below may show optional accessories not included with the base configuration. Consult VBS Sales Professional for product information.</t>
    </r>
  </si>
  <si>
    <t>Console</t>
  </si>
  <si>
    <t>Print/Copy Process</t>
  </si>
  <si>
    <t>LED Electrostatic Process</t>
  </si>
  <si>
    <t>Dry Dual Component Magnetic Brush Development</t>
  </si>
  <si>
    <t>1,500,000 pages</t>
  </si>
  <si>
    <t>100 pages per minute</t>
  </si>
  <si>
    <t>1200 x 1200 dpi / 256 Gray shades</t>
  </si>
  <si>
    <t>6.5 minutes (approx.)</t>
  </si>
  <si>
    <t>3.4 seconds (approx.)</t>
  </si>
  <si>
    <t xml:space="preserve">25 - 400%, .1% increments; </t>
  </si>
  <si>
    <t xml:space="preserve">Preset reduction 79%, 73%, 65%, 50%; </t>
  </si>
  <si>
    <t>Preset enlargement 121%, 129%, 155%,200%</t>
  </si>
  <si>
    <t xml:space="preserve">1,500-Sheet Universal Paper Drawers x 2 </t>
  </si>
  <si>
    <t>5-1/2” x  8-1/2” to 12” x 18”</t>
  </si>
  <si>
    <t xml:space="preserve">9,000-sheets (total, with options) </t>
  </si>
  <si>
    <t>8GB RAM</t>
  </si>
  <si>
    <t>208-240V, 60Hz, 16A Dedicated Line</t>
  </si>
  <si>
    <t>39” x 35.75" x 45.75” (WDH)</t>
  </si>
  <si>
    <t>749.5 lbs.</t>
  </si>
  <si>
    <t>**MAINTENANCE TO BE NEGOTIATED**</t>
  </si>
  <si>
    <t>50 (B/W)</t>
  </si>
  <si>
    <t>ADF2011</t>
  </si>
  <si>
    <t>AccurioPrint 2100</t>
  </si>
  <si>
    <t>7714901</t>
  </si>
  <si>
    <t>DIE  COIL  RND 44/47H</t>
  </si>
  <si>
    <t>7714902</t>
  </si>
  <si>
    <t>DIE  WIRE 2:1  RND 21/23H</t>
  </si>
  <si>
    <t>7714903</t>
  </si>
  <si>
    <t>DIE  WIRE 3:1  RND 32/34H</t>
  </si>
  <si>
    <t>7714904</t>
  </si>
  <si>
    <t>DIE 3 HOLE 8MM</t>
  </si>
  <si>
    <t>7714905</t>
  </si>
  <si>
    <t>DIE 3/5/7 HOLE 8MM</t>
  </si>
  <si>
    <t>7714906</t>
  </si>
  <si>
    <t>DIE 2/4 HOLE 8MM</t>
  </si>
  <si>
    <t>7714909</t>
  </si>
  <si>
    <t>DIE VELOBIND 11 HOLE LTR</t>
  </si>
  <si>
    <t>7714911</t>
  </si>
  <si>
    <t>DIE  COMBBIND 19/21H</t>
  </si>
  <si>
    <t>7714912</t>
  </si>
  <si>
    <t>DIE  WIRE 2:1  SQ  21/23H</t>
  </si>
  <si>
    <t>7714913</t>
  </si>
  <si>
    <t>DIE  WIRE 3:1  SQ 32/34H</t>
  </si>
  <si>
    <t>7714914</t>
  </si>
  <si>
    <t>DIE  COIL  OVAL  44/47H</t>
  </si>
  <si>
    <t>7714915</t>
  </si>
  <si>
    <t>DIE EWIRE RND</t>
  </si>
  <si>
    <t>7714916</t>
  </si>
  <si>
    <t>DIE EWIRE SQ</t>
  </si>
  <si>
    <t>7714917</t>
  </si>
  <si>
    <t>DIE  COIL RND 44/47H HD</t>
  </si>
  <si>
    <t>7714918</t>
  </si>
  <si>
    <t>DIE 3 HOLE 8MM HD</t>
  </si>
  <si>
    <t>7714919</t>
  </si>
  <si>
    <t>DIE COMBBIND 19/21H HD</t>
  </si>
  <si>
    <t>7717962</t>
  </si>
  <si>
    <t>EWIRE SPOOL ELEMENT SIZE 'A' BLACK</t>
  </si>
  <si>
    <t>7717963</t>
  </si>
  <si>
    <t>EWIRE SPOOL ELEMENT SIZE 'B'  BLACK</t>
  </si>
  <si>
    <t>7717964</t>
  </si>
  <si>
    <t>EWIRE SPOOL ELEMENT SIZE 'C'  BLACK</t>
  </si>
  <si>
    <t>7717965</t>
  </si>
  <si>
    <t>EWIRE SPOOL ELEMENT SIZE B SILVER</t>
  </si>
  <si>
    <t>7717966</t>
  </si>
  <si>
    <t>EWIRE SPOOL ELEMENT SIZE 'E'  BLACK</t>
  </si>
  <si>
    <t>7717968</t>
  </si>
  <si>
    <t>EWIRE SPOOL ELEMENT SIZE 'A'  WHITE</t>
  </si>
  <si>
    <t>7717969</t>
  </si>
  <si>
    <t>EWIRE SPOOL ELEMENT SIZE 'B'  WHITE</t>
  </si>
  <si>
    <t>7717970</t>
  </si>
  <si>
    <t>EWIRE SPOOL ELEMENT SIZE 'C'  WHITE</t>
  </si>
  <si>
    <t>7717971</t>
  </si>
  <si>
    <t>EWIRE SPOOL ELEMENT SIZE 'D'  WHITE</t>
  </si>
  <si>
    <t>7717972</t>
  </si>
  <si>
    <t>EWIRE SPOOL ELEMENT SIZE 'E'  WHITE</t>
  </si>
  <si>
    <t>7717974</t>
  </si>
  <si>
    <t>EWIRE SPOOL ELEMENT SIZE 'A'  SILVER</t>
  </si>
  <si>
    <t>7717975</t>
  </si>
  <si>
    <t>EWIRE SPOOL ELEMENT SIZE 'B' SILVER</t>
  </si>
  <si>
    <t>7717976</t>
  </si>
  <si>
    <t>EWIRE SPOOL ELEMENT SIZE 'C'  SILVER</t>
  </si>
  <si>
    <t>7717977</t>
  </si>
  <si>
    <t>EWIRE SPOOL ELEMENT SIZE 'D'  SILVER</t>
  </si>
  <si>
    <t>7717978</t>
  </si>
  <si>
    <t>EWIRE SPOOL ELEMENT SIZE 'E'  SILVER</t>
  </si>
  <si>
    <t>GBC WIRE BINDER G1</t>
  </si>
  <si>
    <t>A04HWY2</t>
  </si>
  <si>
    <t>PI-502 POST INSERTER FOR FS-532</t>
  </si>
  <si>
    <t>A4F3WY6</t>
  </si>
  <si>
    <t>FS-532M STAPLE FINISHER</t>
  </si>
  <si>
    <t>A4F4WY1</t>
  </si>
  <si>
    <t>SD-510 SADDLE STITCH UNIT</t>
  </si>
  <si>
    <t>A4F5WY1</t>
  </si>
  <si>
    <t>MK-732 MOUNT KIT FOR PI-506</t>
  </si>
  <si>
    <t>A4F8WY2</t>
  </si>
  <si>
    <t>ZU-608 Z-FOLDING UNIT</t>
  </si>
  <si>
    <t>A6H9WY2</t>
  </si>
  <si>
    <t>MK-737 MOUNT KIT FOR 3RD PARTY OPTIONS</t>
  </si>
  <si>
    <t>A79CWY1</t>
  </si>
  <si>
    <t>OT-507 EXIT TRAY</t>
  </si>
  <si>
    <t>A9CEWY2</t>
  </si>
  <si>
    <t>RU-518M RELAY UNIT</t>
  </si>
  <si>
    <t>A9CFWY1</t>
  </si>
  <si>
    <t>HM-103 HUMIDIFICATION UNIT FOR RU-518</t>
  </si>
  <si>
    <t>AC8UW11</t>
  </si>
  <si>
    <t>PK-525 PUNCH KIT</t>
  </si>
  <si>
    <t>AC8WWY1</t>
  </si>
  <si>
    <t>ACCXWY2</t>
  </si>
  <si>
    <t>IM-101 INTELLIGENT MEDIA SENSOR</t>
  </si>
  <si>
    <t>WSM7717967</t>
  </si>
  <si>
    <t>EWIRE SPOOL ELEMENT SIZE F  BLACK</t>
  </si>
  <si>
    <t>WSM7717973</t>
  </si>
  <si>
    <t>EWIRE SPOOL ELEMENT SIZE F  WHITE</t>
  </si>
  <si>
    <t>WSM7717979</t>
  </si>
  <si>
    <t>EWIRE SPOOL ELEMENT SIZE F SILVER</t>
  </si>
  <si>
    <t>WSM7724154</t>
  </si>
  <si>
    <t>DIE G3 CREASE 75-300GSM</t>
  </si>
  <si>
    <t>WSM7724155</t>
  </si>
  <si>
    <t>DIE G3 PERF 75-120GSM</t>
  </si>
  <si>
    <t>WSM7724156</t>
  </si>
  <si>
    <t>DIE G3 PERF 120-300GSM</t>
  </si>
  <si>
    <t>WSM7724400</t>
  </si>
  <si>
    <t>GBC PUNCH G3</t>
  </si>
  <si>
    <t>A79AWY2</t>
  </si>
  <si>
    <t>MB-507 MULTI-BYPASS TRAY</t>
  </si>
  <si>
    <t>A7W7WY3</t>
  </si>
  <si>
    <t>PF-709 PAPER FEED UNIT</t>
  </si>
  <si>
    <t>ADF3WY1</t>
  </si>
  <si>
    <t>LU-414 LARGE CAP PAPER FEED UNIT LETTER</t>
  </si>
  <si>
    <t>ADF4WY1</t>
  </si>
  <si>
    <t>LU-415 LARGE CAP PAPER FEED UNIT (12X18)</t>
  </si>
  <si>
    <t>7640021191</t>
  </si>
  <si>
    <t>KONICA MINOLTA AccurioPress 7120 Digital Press</t>
  </si>
  <si>
    <r>
      <t xml:space="preserve">Built to perform in high volume environments, the AccurioPress 7120 digtial press sets a new standard in monochrome printing. Print and copy speeds up to 120 ppm reach new levels in efficiency, with high-volume monthly duty cycle of 2.5 million impressions, real-time automated density and registration adjustments deliver ultimate quality and productivity to almost any customer in the printing industry.
</t>
    </r>
    <r>
      <rPr>
        <sz val="9"/>
        <rFont val="Tahoma"/>
        <family val="2"/>
      </rPr>
      <t>**Picture below may show optional accessories not included with the base configuration. Consult VBS Sales Professional for product information.</t>
    </r>
  </si>
  <si>
    <t>120 pages per minute</t>
  </si>
  <si>
    <t>Approx 7 minutes</t>
  </si>
  <si>
    <t>Less than 3 seconds</t>
  </si>
  <si>
    <t xml:space="preserve">Preset reduction 93%, 77%, 65%, 50%; </t>
  </si>
  <si>
    <t>3,000 sheets</t>
  </si>
  <si>
    <t xml:space="preserve">18,000-sheets (total, with options) </t>
  </si>
  <si>
    <t>16 GB</t>
  </si>
  <si>
    <t>208V-240V, 20A 60HZ (dedicated line)</t>
  </si>
  <si>
    <t>39.0” x 35.8" x 57” (WDH)</t>
  </si>
  <si>
    <t>Approx 813.5 lbs.</t>
  </si>
  <si>
    <t xml:space="preserve">	AE1M011</t>
  </si>
  <si>
    <t>AccurioPress 7120</t>
  </si>
  <si>
    <t>Barcode Serial Number Validation for AIT</t>
  </si>
  <si>
    <t>A65XWY1</t>
  </si>
  <si>
    <t>CR-101 CREASER UNIT FOR SD-513</t>
  </si>
  <si>
    <t>ACWKWY1</t>
  </si>
  <si>
    <t>CR-103 CONVEX CREASING UNIT FOR TU-510</t>
  </si>
  <si>
    <t>ACJ5WY1</t>
  </si>
  <si>
    <t>AE58WY1</t>
  </si>
  <si>
    <t>A9JYWY1</t>
  </si>
  <si>
    <t>FA-503 PFU Adjustment Kit FA-503</t>
  </si>
  <si>
    <t>A0H0W12</t>
  </si>
  <si>
    <t>FD-503 Multi Folding Unit</t>
  </si>
  <si>
    <t>A65VWY1</t>
  </si>
  <si>
    <t>FD-504 SQUARE FOLD MODULE FOR SD-513</t>
  </si>
  <si>
    <t>AAUUWY1</t>
  </si>
  <si>
    <t>FS-541 STAPLE FINISHER</t>
  </si>
  <si>
    <t>A874WY2</t>
  </si>
  <si>
    <t>HD-523 Removable HDD Inner Case Kit for 61XX</t>
  </si>
  <si>
    <t>A1RKWY3</t>
  </si>
  <si>
    <t>HT-506 HEATER FOR PF-710</t>
  </si>
  <si>
    <t>63900290A</t>
  </si>
  <si>
    <t>IC-316 ACTION PACK</t>
  </si>
  <si>
    <t>63900289A</t>
  </si>
  <si>
    <t>IC-316 FAST PACK</t>
  </si>
  <si>
    <t>63900292A</t>
  </si>
  <si>
    <t>IC-316 TRANS PACK</t>
  </si>
  <si>
    <t>01002011A</t>
  </si>
  <si>
    <t>IC-316M CREO IMAGE CONTROLLER</t>
  </si>
  <si>
    <t>A8FRWY1</t>
  </si>
  <si>
    <t>IQ-501 Intelligent Quality Optimizer</t>
  </si>
  <si>
    <t>ACJ8WY2</t>
  </si>
  <si>
    <t>JS-507 BUSINESS CARD TRAY FOR TU-510</t>
  </si>
  <si>
    <t>ACHKWY1</t>
  </si>
  <si>
    <t>LC-502 Stacker Cart</t>
  </si>
  <si>
    <t>AAPKWY1</t>
  </si>
  <si>
    <t>LS-507 Large Stacker</t>
  </si>
  <si>
    <t>45236414</t>
  </si>
  <si>
    <t>MIC-4170 FIERY IMAGE CONTROLLER</t>
  </si>
  <si>
    <t>ACWMWY1</t>
  </si>
  <si>
    <t>MK-765 DUST BOX FOR TU-510</t>
  </si>
  <si>
    <t>OT-512 Output Tray</t>
  </si>
  <si>
    <t>A15XW13</t>
  </si>
  <si>
    <t>PB-503 PERFECT BINDER</t>
  </si>
  <si>
    <t>PE-101 FEED DIRECTION PERF FOR TU-510</t>
  </si>
  <si>
    <t>ACWPWY2</t>
  </si>
  <si>
    <t>A9JXWY2</t>
  </si>
  <si>
    <t>PF-710 PAPER FEED UNIT</t>
  </si>
  <si>
    <t>13300005</t>
  </si>
  <si>
    <t>Plockmatic Carepack FM-400</t>
  </si>
  <si>
    <t>Plockmatic Hand Feed Tray</t>
  </si>
  <si>
    <t>4707000</t>
  </si>
  <si>
    <t>PLOCKMATIC HIGH CAPACITY BELT STACKER</t>
  </si>
  <si>
    <t>12207100</t>
  </si>
  <si>
    <t>Plockmatic RCT 3.0 Module</t>
  </si>
  <si>
    <t>Plockmatic SD-450 Upgrade kit</t>
  </si>
  <si>
    <t>A08RWY1</t>
  </si>
  <si>
    <t>PP-701 Pre-Printed Paper Feed Enhance Kit for PF-709</t>
  </si>
  <si>
    <t>A0W6WY5</t>
  </si>
  <si>
    <t>A4FCWY2</t>
  </si>
  <si>
    <t>RU-510 Relay Unit</t>
  </si>
  <si>
    <t>AC5RWY1</t>
  </si>
  <si>
    <t>RU-702 Purge Tray</t>
  </si>
  <si>
    <t>A0H2WY3</t>
  </si>
  <si>
    <t>SD-506 Saddle Stitch Finisher with Face Trimmer</t>
  </si>
  <si>
    <t>A65UWY2</t>
  </si>
  <si>
    <t>SD-513 SADDLE STITCHER</t>
  </si>
  <si>
    <t>A729WY1</t>
  </si>
  <si>
    <t>SD-513/F SADDLE STITCH UNIT - FRONT</t>
  </si>
  <si>
    <t>12200032</t>
  </si>
  <si>
    <t>TRIM WASTE CONVEYOR 2.0</t>
  </si>
  <si>
    <t>A65WWY1</t>
  </si>
  <si>
    <t>TU-503 TRIMMER UNIT FOR SD-513</t>
  </si>
  <si>
    <t>AAAMWY2</t>
  </si>
  <si>
    <t>UK-217 UPGRADE KIT</t>
  </si>
  <si>
    <t>AC5KWY1</t>
  </si>
  <si>
    <t>AD8WWY1</t>
  </si>
  <si>
    <t>UK-311 ACCELERATION KIT</t>
  </si>
  <si>
    <t>AD8XWY1</t>
  </si>
  <si>
    <t>UK-312 VDP VERIFICATION KIT</t>
  </si>
  <si>
    <t>AAANWY2</t>
  </si>
  <si>
    <t>AC5MWY2</t>
  </si>
  <si>
    <t>KONICA MINOLTA AccurioPress 7136 Digital Press</t>
  </si>
  <si>
    <r>
      <t xml:space="preserve">With a print speed of 136 pages per minute, the AccurioPress 7136 digital printing press provides high-quality black and white output at high volume. It’s the digital press that runs like a pro, with a duty cycle of over three million impressions, and real-time automated image density and registration adjustments maintain image stability over long press runs.
</t>
    </r>
    <r>
      <rPr>
        <sz val="9"/>
        <rFont val="Tahoma"/>
        <family val="2"/>
      </rPr>
      <t>**Picture below may show optional accessories not included with the base configuration. Consult VBS Sales Professional for product information.</t>
    </r>
  </si>
  <si>
    <t>136 pages per minute</t>
  </si>
  <si>
    <t>Less than 2.7 seconds</t>
  </si>
  <si>
    <t>AE1K011</t>
  </si>
  <si>
    <t xml:space="preserve"> AccurioPress 7136</t>
  </si>
  <si>
    <t>7640021823</t>
  </si>
  <si>
    <t>EF-109 ENVELOPE FUSER</t>
  </si>
  <si>
    <t>UK-301 Auto Inspection Unit</t>
  </si>
  <si>
    <t xml:space="preserve">AccurioPrint C4065 Digital Press </t>
  </si>
  <si>
    <r>
      <t>The AccurioPrint C4065 digital press offers productivity and versatility in one compact, affordable unit. It is the perfect digital press for lower-volume print shops, corporate reprographics departments, and office environments. The outstanding image and color quality, media versatility, and fast 65 color ppm or 80 black &amp; white ppm output make this press a high-value, yet cost-effective solution for print professionals.
**</t>
    </r>
    <r>
      <rPr>
        <sz val="10"/>
        <rFont val="Tahoma"/>
        <family val="2"/>
      </rPr>
      <t>Picture below may show optional accessories not included with the base configuration. Consult VBS Sales Professional for product information.</t>
    </r>
  </si>
  <si>
    <t>Color Digital Production Press / Copier / Scanner</t>
  </si>
  <si>
    <t>Up To 702,000 pages</t>
  </si>
  <si>
    <t>65-ppm Full Color and 80-ppm Black &amp; White (letter, portrait)</t>
  </si>
  <si>
    <t>3,600 (equivalent) x 2,400 dpi x 8 bit</t>
  </si>
  <si>
    <t xml:space="preserve">Full Color:Approx. 6.5 seconds </t>
  </si>
  <si>
    <t xml:space="preserve">B&amp;W: Approx. 4.0 seconds </t>
  </si>
  <si>
    <t>4" x 6” to 13” x 19.2”</t>
  </si>
  <si>
    <t>240/20</t>
  </si>
  <si>
    <t>31.49” x 35.55” x 42.36” (WDH) Machine Only</t>
  </si>
  <si>
    <t>696.66 lbs.</t>
  </si>
  <si>
    <t>51 (COLOR)</t>
  </si>
  <si>
    <t>AccurioPrint C4065</t>
  </si>
  <si>
    <t>AAMPWY1</t>
  </si>
  <si>
    <t>DF-713 Auto Duplex Document Feeder</t>
  </si>
  <si>
    <t>ACKHW11</t>
  </si>
  <si>
    <t>EF-107 Envelope Fuser</t>
  </si>
  <si>
    <t>A69EWY1</t>
  </si>
  <si>
    <t>FA-502 FEED ADJUSTER</t>
  </si>
  <si>
    <t>A0410Y0</t>
  </si>
  <si>
    <t>HT-503 DEHUMID HEATER FOR LU-202</t>
  </si>
  <si>
    <t>A15AWY1</t>
  </si>
  <si>
    <t>HT-505 HEATER FAN UNIT</t>
  </si>
  <si>
    <t>A5VKWY1</t>
  </si>
  <si>
    <t>HT-511 UPPER TRAY OPTION HEATER</t>
  </si>
  <si>
    <t>A041WY1</t>
  </si>
  <si>
    <t>HT-515 HEATER FOR LU-202XLM</t>
  </si>
  <si>
    <t>IC-419 EFI EMBEDDED IMAGE CONTROLLER</t>
  </si>
  <si>
    <t>ACMG0Y1</t>
  </si>
  <si>
    <t>ACCXWY1</t>
  </si>
  <si>
    <t>KONI66002</t>
  </si>
  <si>
    <t>A03WWY2</t>
  </si>
  <si>
    <t>LU-202M LARGE CAPACITY TRAY</t>
  </si>
  <si>
    <t>A8K4WY2</t>
  </si>
  <si>
    <t>LU-202XLM XL PAPER FEED (29.5 IN MAX)</t>
  </si>
  <si>
    <t>AA01WY1</t>
  </si>
  <si>
    <t>MB-508 BANNER SHEET BYPASS TRAY</t>
  </si>
  <si>
    <t>ACE7WY1</t>
  </si>
  <si>
    <t>MB-509 Bypass Tray</t>
  </si>
  <si>
    <t>A8ACWY1</t>
  </si>
  <si>
    <t>MK-746 ENVELOPE GUIDE KIT</t>
  </si>
  <si>
    <t>ACR3WY1</t>
  </si>
  <si>
    <t>MK-760 BANNER INPUT KIT</t>
  </si>
  <si>
    <t>ACR4WY1</t>
  </si>
  <si>
    <t>MK-761 BANNER OUTPUT KIT</t>
  </si>
  <si>
    <t>A043WY1</t>
  </si>
  <si>
    <t>OT-511 OUTPUT TRAY</t>
  </si>
  <si>
    <t>A0U4WY3</t>
  </si>
  <si>
    <t>A55CWY3</t>
  </si>
  <si>
    <t>ACMHWY1</t>
  </si>
  <si>
    <t>UK-112 HDD</t>
  </si>
  <si>
    <t>ACMKWY1</t>
  </si>
  <si>
    <t>VI-515 VIDEO INTERFACE FOR CONTROLLER</t>
  </si>
  <si>
    <t>A57UWY1</t>
  </si>
  <si>
    <t>WT-511 WORKING TABLE</t>
  </si>
  <si>
    <t>TOTAL 72 MONTH</t>
  </si>
  <si>
    <t>TOTAL 84 MONTH</t>
  </si>
  <si>
    <t xml:space="preserve">AccurioPress C4070 Digital Press </t>
  </si>
  <si>
    <r>
      <t>The AccurioPress C4070 is a mid-volume all-in-one digital press featuring advanced automation and ease of use opening opportunities for your business to expand. By streamlining workflow and delivering printed output that exceeds customer expectations, the C4070 will take on many new print applications other digital presses cannot, saving you time and increasing profitability. 
**</t>
    </r>
    <r>
      <rPr>
        <sz val="10"/>
        <rFont val="Tahoma"/>
        <family val="2"/>
      </rPr>
      <t>Picture below may show optional accessories not included with the base configuration. Consult VBS Sales Professional for product information.</t>
    </r>
  </si>
  <si>
    <t>Up To 758,000 pages</t>
  </si>
  <si>
    <t>70-ppm Full Color and  Black &amp; White (letter, portrait)</t>
  </si>
  <si>
    <t xml:space="preserve">Full Color:Approx. 7.3 seconds </t>
  </si>
  <si>
    <t xml:space="preserve">B&amp;W: Approx. 4.8 seconds </t>
  </si>
  <si>
    <t>AccurioPrint C4070</t>
  </si>
  <si>
    <t>ACME0Y1</t>
  </si>
  <si>
    <t>ACJ7WY1</t>
  </si>
  <si>
    <t>MK-764 BANNER OUTPUT FOR TU-510</t>
  </si>
  <si>
    <t>ACMJWY1</t>
  </si>
  <si>
    <t>VI-514 VIDEO INTERFACE FOR IQ-501</t>
  </si>
  <si>
    <t xml:space="preserve">AccurioPress C4080 Digital Press </t>
  </si>
  <si>
    <r>
      <t>The versatile AccurioPress C4080 digital press is an all-in-one print manufacturing powerhouse providing features to streamline workflow and print output that will exceed customer expectations. Advanced real-time automation of color and registration management combined with sophisticated inline finishing options allows your business to excel at delivering a variety of print applications.
**</t>
    </r>
    <r>
      <rPr>
        <sz val="10"/>
        <rFont val="Tahoma"/>
        <family val="2"/>
      </rPr>
      <t>Picture below may show optional accessories not included with the base configuration. Consult VBS Sales Professional for product information.</t>
    </r>
  </si>
  <si>
    <t>Up To 864,000 pages</t>
  </si>
  <si>
    <t>80-ppm Full Color and  Black &amp; White (letter, portrait)</t>
  </si>
  <si>
    <t>ACCURIOPRESS C4080</t>
  </si>
  <si>
    <t>Digital Color Press</t>
  </si>
  <si>
    <t>Up To 1,620,00 pages</t>
  </si>
  <si>
    <t>90-ppm Full Color and Black &amp; White (letter, portrait)</t>
  </si>
  <si>
    <t>3600 x 2400 8 bit</t>
  </si>
  <si>
    <t>Approx. 6.5 minutes</t>
  </si>
  <si>
    <t>220V to 240V, 25A</t>
  </si>
  <si>
    <t>31.5” x 44.8 x 58.19” WDH) Machine Only</t>
  </si>
  <si>
    <t>738.5 lbs. Main body only</t>
  </si>
  <si>
    <t>AAYMW11</t>
  </si>
  <si>
    <t>EF-108 Envelope Fuser</t>
  </si>
  <si>
    <t>AC4MWY1</t>
  </si>
  <si>
    <t>FA-505 PF CONNECTION KIT</t>
  </si>
  <si>
    <t>63900291A</t>
  </si>
  <si>
    <t>ADDPWY2</t>
  </si>
  <si>
    <t>ACVAWY2</t>
  </si>
  <si>
    <t>IC-319 FIERY PREMIUM IMAGE CONTROLLER</t>
  </si>
  <si>
    <t>AC4PWY1</t>
  </si>
  <si>
    <t>LU-208 Large Capacity Tray</t>
  </si>
  <si>
    <t>AC4RWY1</t>
  </si>
  <si>
    <t>LU-208XL Long Sheet Paper Feed</t>
  </si>
  <si>
    <t>ACMMWY1</t>
  </si>
  <si>
    <t>MB-510 Bypass Tray</t>
  </si>
  <si>
    <t>AC4KWY1</t>
  </si>
  <si>
    <t>MB-511 BYPASS BANNER TRAY</t>
  </si>
  <si>
    <t>A043WY2</t>
  </si>
  <si>
    <t>PE-102 CROSS DIRECTION PERF TU-510</t>
  </si>
  <si>
    <t>AC4GWY1</t>
  </si>
  <si>
    <t>AC4HWY1</t>
  </si>
  <si>
    <t>AC4JWY1</t>
  </si>
  <si>
    <t>PF-812 LONG SHEET 3 DRAWER PAPER FEED</t>
  </si>
  <si>
    <t>UK-220 UPGRADE KIT</t>
  </si>
  <si>
    <t>Up To 1,800,00 pages</t>
  </si>
  <si>
    <t>Console Full Color Scanner/Printer/Copier</t>
  </si>
  <si>
    <t>Laser Electrostatic Transfer</t>
  </si>
  <si>
    <r>
      <t>Simitri</t>
    </r>
    <r>
      <rPr>
        <vertAlign val="superscript"/>
        <sz val="10"/>
        <rFont val="Tahoma"/>
        <family val="2"/>
      </rPr>
      <t>®</t>
    </r>
    <r>
      <rPr>
        <sz val="10"/>
        <rFont val="Tahoma"/>
        <family val="2"/>
      </rPr>
      <t xml:space="preserve"> HD Color Polymerized Toner</t>
    </r>
  </si>
  <si>
    <t>Up To 2,200,000 pages</t>
  </si>
  <si>
    <t>120.9-ppm Full Color and Black &amp; White (letter, portrait)</t>
  </si>
  <si>
    <t>1200 X 2400 8 bit</t>
  </si>
  <si>
    <t>Approx. 8 minutes</t>
  </si>
  <si>
    <t>208VAC to 240VAC, 24A, 60 Hz</t>
  </si>
  <si>
    <t>45.32" x 36.69" x 63.78" (WDH) Machine Only</t>
  </si>
  <si>
    <t>1234.59 lbs. Main body only</t>
  </si>
  <si>
    <t>45162875</t>
  </si>
  <si>
    <t>A5AWRX0011A</t>
  </si>
  <si>
    <t>CR-102 Creaser for TU-510</t>
  </si>
  <si>
    <t>ACT1W21</t>
  </si>
  <si>
    <t>EF-106 Envelope Fuser</t>
  </si>
  <si>
    <t>100000006365</t>
  </si>
  <si>
    <t>FS-541 Staple Finisher</t>
  </si>
  <si>
    <t>45150368</t>
  </si>
  <si>
    <t>45162420</t>
  </si>
  <si>
    <t>PF-712 Paper Feed</t>
  </si>
  <si>
    <t>PF-713 Paper Feed with Scanner</t>
  </si>
  <si>
    <t>ACT2WY1</t>
  </si>
  <si>
    <t>WT-518 Working Table</t>
  </si>
  <si>
    <t>Up To 2,500,000 pages</t>
  </si>
  <si>
    <t>141-ppm Full Color and Black &amp; White (letter, portrait)</t>
  </si>
  <si>
    <t>Dremel 3D40 3DPrinter with FlexBuildPlate with EDU Curriculum</t>
  </si>
  <si>
    <r>
      <t xml:space="preserve">For versatile 3D printing, the Material Extrusion 3D printers from Konica Minolta are your high quality solution. Our 3D printing technology and functionality has surpassed what is being delivered on the market, and our printers can help bring your digital concepts to fruition. Delivering only the highest of quality, you can count on Konica Minolta’s reliability when you purchase one of our Material Extrusion 3D printers.
</t>
    </r>
    <r>
      <rPr>
        <sz val="10"/>
        <rFont val="Tahoma"/>
        <family val="2"/>
      </rPr>
      <t>**Picture below may show optional accessories not included with the base configuration. Consult VBS Sales Professional for product information.</t>
    </r>
  </si>
  <si>
    <t>MAINTENANCE OPTION - 52</t>
  </si>
  <si>
    <t>3D40FLXEDU</t>
  </si>
  <si>
    <t>26153DBTAB</t>
  </si>
  <si>
    <t>BT40-01 Build Sheet (Pack of 3)</t>
  </si>
  <si>
    <t>2615BP40AA</t>
  </si>
  <si>
    <t>BP40-01 Build Platform (each)</t>
  </si>
  <si>
    <t>BP40FLX01</t>
  </si>
  <si>
    <t>Dremel 3D40 FLEX Build Plate Assembly-used to convert a 3D40 printer to a flexible build plate inlcudes build plate holder build plate and one flexible sheet</t>
  </si>
  <si>
    <t>BP40FLX02</t>
  </si>
  <si>
    <t>Dremel 3D40 FLEX Flexible Build Plate EXTRA</t>
  </si>
  <si>
    <t xml:space="preserve">BP4501 </t>
  </si>
  <si>
    <t>Build Plate for 3D45-01 DigiLab 3D printer</t>
  </si>
  <si>
    <t>HP PageWide Managed P57750dw Multifunction Printer</t>
  </si>
  <si>
    <r>
      <t xml:space="preserve">HP Managed MFPs and printers are optimized for managed environments. Offering increased monthly page volumes and fewer interventions, this portfolio of products can help reduce printing and copying costs. 
</t>
    </r>
    <r>
      <rPr>
        <sz val="10"/>
        <rFont val="Tahoma"/>
        <family val="2"/>
      </rPr>
      <t>**Picture below may show optional accessories not included with the base configuration. Consult VBS Sales Professional for product information.</t>
    </r>
  </si>
  <si>
    <t>Printer / Copier / Full-Color Scanner / Fax</t>
  </si>
  <si>
    <t xml:space="preserve">Approx 7.1 black / 7.3 color </t>
  </si>
  <si>
    <t>500 Sheet Tray w/ 50 sheet Multipurpose input tray</t>
  </si>
  <si>
    <t>768 MB Standard</t>
  </si>
  <si>
    <t>Input voltage: 100 to 240 VAC (+/- 10%), 50/60 Hz (+/- 3 Hz)</t>
  </si>
  <si>
    <t>: 20.9 x 16.0 x 18.4" (HxWxD)</t>
  </si>
  <si>
    <t>48.83 lb</t>
  </si>
  <si>
    <t>MAINTENANCE OPTION - 54</t>
  </si>
  <si>
    <t>MAINTENANCE OPTION - 54a</t>
  </si>
  <si>
    <t>B\W Copies Included:</t>
  </si>
  <si>
    <t>B\W Overages:</t>
  </si>
  <si>
    <t>Professional Color CPC</t>
  </si>
  <si>
    <t>CPC billed at $0.057</t>
  </si>
  <si>
    <t>Accent Color CPC</t>
  </si>
  <si>
    <t>CPC billed at $0.015</t>
  </si>
  <si>
    <t>Color Save CPC</t>
  </si>
  <si>
    <t>CPC billed at $0.017</t>
  </si>
  <si>
    <t>J9V82A</t>
  </si>
  <si>
    <t>P57750dw Multifunction Printer</t>
  </si>
  <si>
    <t>54a</t>
  </si>
  <si>
    <t>D3Q23A</t>
  </si>
  <si>
    <t>500-sheet Paper Tray</t>
  </si>
  <si>
    <t>P0V04A</t>
  </si>
  <si>
    <t xml:space="preserve">2x500-sheet Paper Tray and Stand </t>
  </si>
  <si>
    <t>MAINTENANCE OPTION - 55</t>
  </si>
  <si>
    <t>B\W CPC:</t>
  </si>
  <si>
    <t>CPC billed at $0.009</t>
  </si>
  <si>
    <t>Professional Color CPC:</t>
  </si>
  <si>
    <t>Accent Color CPC:</t>
  </si>
  <si>
    <t>Color Save CPC:</t>
  </si>
  <si>
    <t>HP PageWide Managed E58650z Multifunction Printer</t>
  </si>
  <si>
    <t>2048 MB Standard</t>
  </si>
  <si>
    <t xml:space="preserve">Input voltage: 100 to 240 VAC (+/- 10%), 50/60 Hz (+/- 3 Hz); </t>
  </si>
  <si>
    <t>20.8 x 22.2 x 20.8" (HxWxD)</t>
  </si>
  <si>
    <t>71.2 lb</t>
  </si>
  <si>
    <t>MAINTENANCE OPTION - 55a</t>
  </si>
  <si>
    <t>MAINTENANCE OPTION - 55b</t>
  </si>
  <si>
    <t>Overages billed at $0.007</t>
  </si>
  <si>
    <t>CPC billed at $0.065</t>
  </si>
  <si>
    <t>CPC billed at $0.016</t>
  </si>
  <si>
    <t>CPC billed at $0.019</t>
  </si>
  <si>
    <t>55a</t>
  </si>
  <si>
    <t>L3U43A</t>
  </si>
  <si>
    <t xml:space="preserve">E58650z Flow MFP </t>
  </si>
  <si>
    <t>55b</t>
  </si>
  <si>
    <t>Accessibility Assistant</t>
  </si>
  <si>
    <t>2TD64A</t>
  </si>
  <si>
    <t>Accessibility (for E58650dn/z)</t>
  </si>
  <si>
    <t xml:space="preserve">JetDirect 3100w BLE/NFC/Wireless </t>
  </si>
  <si>
    <t>JetDirect 3100w BLE/NFC/Wireless  (for E58650dn)</t>
  </si>
  <si>
    <t>Two Internal USB Ports (for E55650dn, E58650dn)</t>
  </si>
  <si>
    <t>B5L31A</t>
  </si>
  <si>
    <t>Foreign Interface Harness (for E58650dn/z)</t>
  </si>
  <si>
    <t>CC487A#B1H</t>
  </si>
  <si>
    <t>Analog 500 Fax (for E58650dn only)</t>
  </si>
  <si>
    <t>E5K48A</t>
  </si>
  <si>
    <t>1 GB x32 144-pin (800 MHz) DDR3 SODIMM</t>
  </si>
  <si>
    <t>E5K49A</t>
  </si>
  <si>
    <t xml:space="preserve">2GB DDR3x32 144-Pin 800MHz SODIMM </t>
  </si>
  <si>
    <t>F5S62A</t>
  </si>
  <si>
    <t xml:space="preserve">Trusted Platform Module </t>
  </si>
  <si>
    <t>G1W43A</t>
  </si>
  <si>
    <t>500 Sheet Paper Tray</t>
  </si>
  <si>
    <t>G1W44A</t>
  </si>
  <si>
    <t>Printer Cabinet and Stand</t>
  </si>
  <si>
    <t>Printer Cabinet and Stand (for E58650dn/z)</t>
  </si>
  <si>
    <t>G1W45A</t>
  </si>
  <si>
    <t>3x500 Sheet Paper Tray / Stand</t>
  </si>
  <si>
    <t>J8030A</t>
  </si>
  <si>
    <t xml:space="preserve">Jetdirect 3000w NFC/Wireless </t>
  </si>
  <si>
    <t>J8031A#ABA</t>
  </si>
  <si>
    <t>Jetdirect 2900nw Print Server</t>
  </si>
  <si>
    <t>2 GB Standard</t>
  </si>
  <si>
    <t>MAINTENANCE OPTION - 56</t>
  </si>
  <si>
    <t>MAINTENANCE OPTION - 56a</t>
  </si>
  <si>
    <t>MAINTENANCE OPTION - 56b</t>
  </si>
  <si>
    <t xml:space="preserve"> B\WCopies Included:</t>
  </si>
  <si>
    <t xml:space="preserve"> B\W Copies Included:</t>
  </si>
  <si>
    <t>B\W Overages</t>
  </si>
  <si>
    <t xml:space="preserve"> Color Copies Included:</t>
  </si>
  <si>
    <t>56a</t>
  </si>
  <si>
    <t>56b</t>
  </si>
  <si>
    <t>HP PageWide Managed E77650z Multifunction Printer</t>
  </si>
  <si>
    <t>80 ppm Ltr</t>
  </si>
  <si>
    <t>2.25 GB Standard</t>
  </si>
  <si>
    <t>MAINTENANCE OPTION - 57</t>
  </si>
  <si>
    <t>MAINTENANCE OPTION - 57a</t>
  </si>
  <si>
    <t>MAINTENANCE OPTION - 57b</t>
  </si>
  <si>
    <t>CPC billed at $0.044</t>
  </si>
  <si>
    <t>CPC billed at $0.011</t>
  </si>
  <si>
    <t>J7Z08A</t>
  </si>
  <si>
    <t xml:space="preserve">E77650z Flow MFP </t>
  </si>
  <si>
    <t>57a</t>
  </si>
  <si>
    <t>57b</t>
  </si>
  <si>
    <t>P1V16A</t>
  </si>
  <si>
    <t>Cassette - 1 X 550 sheets</t>
  </si>
  <si>
    <t>P1V17A</t>
  </si>
  <si>
    <t>Cassette - 1 X 550 sheets plus stand</t>
  </si>
  <si>
    <t>P1V18A</t>
  </si>
  <si>
    <t>Cassette - 3 X 550 sheets plus stand</t>
  </si>
  <si>
    <t>P1V19A</t>
  </si>
  <si>
    <t>Cassette - 2 X 2000 sheets plus stand</t>
  </si>
  <si>
    <t>Z4L04A</t>
  </si>
  <si>
    <t>Stapler/Stacker Finisher (designated by “z+”)</t>
  </si>
  <si>
    <t>Y1G10A</t>
  </si>
  <si>
    <t>Hole punch - 2/3 for external finisher</t>
  </si>
  <si>
    <t>Y1G14A</t>
  </si>
  <si>
    <t>Stapler/Stacker Finisher Staples</t>
  </si>
  <si>
    <t>J8J96A</t>
  </si>
  <si>
    <t xml:space="preserve">Staple Cartridge Refill </t>
  </si>
  <si>
    <t>1GB 90-Pin DDR3 DIMM</t>
  </si>
  <si>
    <t>2GB DDR3x32 144-Pin 800MHz SODIMM</t>
  </si>
  <si>
    <t>Smartcard US Govt Niprnet Solution</t>
  </si>
  <si>
    <t>F8B30A</t>
  </si>
  <si>
    <t>Smartcard US Govt Siprnet Solution</t>
  </si>
  <si>
    <t>2EH31A</t>
  </si>
  <si>
    <t xml:space="preserve">MFP Analog 700 Fax </t>
  </si>
  <si>
    <t>2NR09A</t>
  </si>
  <si>
    <t>2GB RAM Disk Memory</t>
  </si>
  <si>
    <t>1GB RAM Disk Memory</t>
  </si>
  <si>
    <t>Hard Disk Drive with FIPS Validation</t>
  </si>
  <si>
    <t>M0K28XC</t>
  </si>
  <si>
    <t>Black Ink</t>
  </si>
  <si>
    <t>M0K05XC</t>
  </si>
  <si>
    <t xml:space="preserve">Cyan Ink </t>
  </si>
  <si>
    <t>M0K24XC</t>
  </si>
  <si>
    <t>Yellow Ink</t>
  </si>
  <si>
    <t>M0K09XC</t>
  </si>
  <si>
    <t>Magenta Ink</t>
  </si>
  <si>
    <t>J8J95A</t>
  </si>
  <si>
    <t>HP 300 ADF Roller Replacement Kit</t>
  </si>
  <si>
    <t>3MM39A</t>
  </si>
  <si>
    <t>110V Heated Pressure Roller (designated by “z+”)</t>
  </si>
  <si>
    <t>W1B43A</t>
  </si>
  <si>
    <t>Printhead Wiper</t>
  </si>
  <si>
    <t>W1B47A</t>
  </si>
  <si>
    <t>ADF Roller Replacement</t>
  </si>
  <si>
    <t>W1B44A</t>
  </si>
  <si>
    <t>Service Fluid Container</t>
  </si>
  <si>
    <t>W1B45A</t>
  </si>
  <si>
    <t>Tray Roller</t>
  </si>
  <si>
    <t>PRODUCT DESCRIPTION</t>
  </si>
  <si>
    <t>LIST PRICE</t>
  </si>
  <si>
    <t>CURRENT GSA DISCOUNT (Percentage Amount)</t>
  </si>
  <si>
    <t>VITA DISCOUNT (Percentage Amount, should be equal to or greater than GSA Discount)</t>
  </si>
  <si>
    <t>WEBJET 100D CONTINUOUS FEED DIGITAL INKJET PRESS</t>
  </si>
  <si>
    <t>WEBJET 100D PROGRAMMABLE HORIZONTAL PERFORATOR</t>
  </si>
  <si>
    <t>WEBJET 100D CAMERA INSPECTION SYSTEM</t>
  </si>
  <si>
    <t>WEBJET 100D 3 OR 5 HOLE PUNCH UNIT</t>
  </si>
  <si>
    <t>PRINT HEAD (x1)</t>
  </si>
  <si>
    <t>CYAN INK DRUM 55L</t>
  </si>
  <si>
    <t>MAGENTA INK DRUM 55L</t>
  </si>
  <si>
    <t>YELLOW  INK DRUM 55L</t>
  </si>
  <si>
    <t>BLACK INK DRUM 55L</t>
  </si>
  <si>
    <t>WEBJET WIPER ROLLER GEN2</t>
  </si>
  <si>
    <t>WEBJET ASM MODULE WIPER ASSEMBLY GEN2</t>
  </si>
  <si>
    <t>WEBJET 100D SHEETER KNIFE SET</t>
  </si>
  <si>
    <t>WEBJET 100D CROSS PERF 12 TEETH/INCH</t>
  </si>
  <si>
    <t>WEBJET 100D CROSS PERF 50 TEETH/INCH</t>
  </si>
  <si>
    <t>WEBJET IDS BLADE ASSEMBLY (COMPLETE)</t>
  </si>
  <si>
    <t>WEBJET MAINTENCE CHASSIS</t>
  </si>
  <si>
    <t>Professional Services Project Fee</t>
  </si>
  <si>
    <t>WEBJET PROFESSIONAL SERVICES - OPERATOR TRAINING 5 DAY - KM</t>
  </si>
  <si>
    <t>WEBJET PROFESSIONAL SERVICES - ADVANCED OPERATOR TRAINING 5 DAY - KM</t>
  </si>
  <si>
    <t>PROKOM MEMBERSHIP </t>
  </si>
  <si>
    <t>WEBJET ENGINE FREIGHT (REQUEST QUOTE)</t>
  </si>
  <si>
    <t>WEBJET INK FREIGHT (REQUEST QUOTE)</t>
  </si>
  <si>
    <t>WEBJET 100D INSTALLATION - KM</t>
  </si>
  <si>
    <t>WEBJET 200D CONTINUOUS FEED DIGITAL INKJET PRESS</t>
  </si>
  <si>
    <t>WEBJET 200D PROGRAMMABLEHORIZONTAL PERFORATOR</t>
  </si>
  <si>
    <t>WEBJET 200D CAMERA INSPECTION SYSTEM</t>
  </si>
  <si>
    <t>WEBJET 200D 3 OR 5 HOLE PUNCH UNIT</t>
  </si>
  <si>
    <t>WEBJET 200D SLIT AND MERGE UNIT</t>
  </si>
  <si>
    <t>WEBJET VERSASTACK PLUS FOR WEBJET 200D ONLY</t>
  </si>
  <si>
    <t xml:space="preserve">WEBJET 200D INLINE LETTER FOLDER </t>
  </si>
  <si>
    <t>WEBJET 200D OUTFEED AND REWIND UNIT</t>
  </si>
  <si>
    <t>WEBJET 200D SHEETER KNIFE SET</t>
  </si>
  <si>
    <t>WEBJET 200D CROSS PERF 12 TEETH/INCH</t>
  </si>
  <si>
    <t>WEBJET 200D CROSS PERF 50 TEETH/INCH</t>
  </si>
  <si>
    <t>WEBJET 200D SLITTER KNIFE (SLIT/MERGE)</t>
  </si>
  <si>
    <t>WEBJET 200D INSTALLATION - KM</t>
  </si>
  <si>
    <t xml:space="preserve">PaperCut  </t>
  </si>
  <si>
    <t xml:space="preserve">PaperCut is a server based print management applications, providing Find Me and Secure Print functionality with authentication utilizing AD credentials, cards or pin numbers.  PaperCut provides the ability to scan to cloud based repositories, facilitate mobility printing, and robust analytics on user, device, environmental and group data.  </t>
  </si>
  <si>
    <t>https://www.papercut.com/</t>
  </si>
  <si>
    <t>Hardware Components</t>
  </si>
  <si>
    <t>Base Stand, Coin-Ops</t>
  </si>
  <si>
    <t>7000EFS</t>
  </si>
  <si>
    <t>Paper Drawer Lock</t>
  </si>
  <si>
    <t>ACDL114</t>
  </si>
  <si>
    <t xml:space="preserve">PRINT SERVER APPLIANCE </t>
  </si>
  <si>
    <t>ACDPRINTHUB</t>
  </si>
  <si>
    <t>PROX CARD II CLAMSHEL -25 PACK</t>
  </si>
  <si>
    <t>BDG1326PROXII25</t>
  </si>
  <si>
    <t>Bracket mount for cPad-Controller</t>
  </si>
  <si>
    <t>CPADBRACKET</t>
  </si>
  <si>
    <t>Controller, Touch screen with Power Supply and Network Cable</t>
  </si>
  <si>
    <t>CPADCONTROLLER</t>
  </si>
  <si>
    <t>Magnetic Debit Card</t>
  </si>
  <si>
    <t>CR80COPY CARD</t>
  </si>
  <si>
    <t>Coin-op w/keypad for user accounts and multiple price lines (opt) Multiple copies with coins, $1 coins</t>
  </si>
  <si>
    <t xml:space="preserve">EX2000 </t>
  </si>
  <si>
    <t>Multiple price lines and multiple copies. Coins, $1 coins, $1-$20 bills.</t>
  </si>
  <si>
    <t>EX2000B</t>
  </si>
  <si>
    <t>Multiple price lines and multiple copies. Coins, $1 coins, $1-$20 bills and credit cards</t>
  </si>
  <si>
    <t>EX2000CCB</t>
  </si>
  <si>
    <t>Fast Release Keypad w/ Built-in Network Switch</t>
  </si>
  <si>
    <t>FASTRELEASEKP</t>
  </si>
  <si>
    <t>Fast Release Magnetic Card Reader w/ Built-In Network Switch</t>
  </si>
  <si>
    <t>FASTRELEASEMNET</t>
  </si>
  <si>
    <t>INTERFACE HARNESS SINGLE PRICE LINE</t>
  </si>
  <si>
    <t>H10COPIER OEM</t>
  </si>
  <si>
    <t>Interface Harness, Multiple Price Lines</t>
  </si>
  <si>
    <t>H20COPIER OEM</t>
  </si>
  <si>
    <t>PRINTERON PRINT CONNECT HARDWARE</t>
  </si>
  <si>
    <t>POPRINTCONNECT</t>
  </si>
  <si>
    <t>PRINTERON PRINT VALET KEYPAD</t>
  </si>
  <si>
    <t>POPRINTVALET</t>
  </si>
  <si>
    <t>PRINTERON PRINT VALET NETWORK</t>
  </si>
  <si>
    <t>POPRINTVALETNET</t>
  </si>
  <si>
    <t>Mounting Bracket for Proximity Readers</t>
  </si>
  <si>
    <t>PROXBRACKETKIT</t>
  </si>
  <si>
    <t xml:space="preserve">TCPCONV KIT W/ POWER SUPPLY </t>
  </si>
  <si>
    <t>PRX15341</t>
  </si>
  <si>
    <t>Revalue Station, Coins, $1 Coins and $1-$20 bills</t>
  </si>
  <si>
    <t>RSX1000</t>
  </si>
  <si>
    <t>Revalue Station,  Coins, $1 Coins, $1-$20 bills, Credit Card</t>
  </si>
  <si>
    <t>RSX1000CCB</t>
  </si>
  <si>
    <t>Podium Stands for Revalue Stations</t>
  </si>
  <si>
    <t>RSXSTAND</t>
  </si>
  <si>
    <t>Touch screen, Pre-loaded All-In-One PC</t>
  </si>
  <si>
    <t>TSPCDELL23</t>
  </si>
  <si>
    <t>Main Software</t>
  </si>
  <si>
    <t>PC MFD EMB KM COMM 1-9 PER DEV</t>
  </si>
  <si>
    <t>PCMFCKM</t>
  </si>
  <si>
    <t>PC MFD EMB KM COMM 10-24 PER DEV</t>
  </si>
  <si>
    <t>PCMFCKM10</t>
  </si>
  <si>
    <t>PC MFD EMB KM COMM 100-199 PER DEV</t>
  </si>
  <si>
    <t>PCMFCKM100</t>
  </si>
  <si>
    <t>PC MFD EMB KM COMM 200-499 PER DEV</t>
  </si>
  <si>
    <t>PCMFCKM200</t>
  </si>
  <si>
    <t>PC MFD EMB KM COMM 25-49 PER DEV</t>
  </si>
  <si>
    <t>PCMFCKM25</t>
  </si>
  <si>
    <t>PC MFD EMB KM COMM 50-99 PER DEV</t>
  </si>
  <si>
    <t>PCMFCKM50</t>
  </si>
  <si>
    <t>PC MFD EMB KM COMM 500  PER DEV</t>
  </si>
  <si>
    <t>PCMFCKM500</t>
  </si>
  <si>
    <t>USERS NO EMB COMM UP TO 100 USERS</t>
  </si>
  <si>
    <t>PCMFCUSERS100</t>
  </si>
  <si>
    <t>USERS NO EMB COMM UP TO 1000 USERS</t>
  </si>
  <si>
    <t>PCMFCUSERS1000</t>
  </si>
  <si>
    <t>USERS NO EMB COMM UP TO 400 USERS</t>
  </si>
  <si>
    <t>PCMFCUSERS400</t>
  </si>
  <si>
    <t>USERS NO EMB COMM UNLIMITED USERS</t>
  </si>
  <si>
    <t>PCMFCUSERSQTY</t>
  </si>
  <si>
    <t>PC MFD EMB KM EDUGOV 1-9 PER DEV</t>
  </si>
  <si>
    <t>PCMFEKM</t>
  </si>
  <si>
    <t>PC MFD EMB KM EDUGOV 10-24 PER DEV</t>
  </si>
  <si>
    <t>PCMFEKM10</t>
  </si>
  <si>
    <t>PC MFD EMB KM EDUGOV 100-199 PER DEV</t>
  </si>
  <si>
    <t>PCMFEKM100</t>
  </si>
  <si>
    <t>PC MFD EMB KM EDUGOV 200-499 PER DEV</t>
  </si>
  <si>
    <t>PCMFEKM200</t>
  </si>
  <si>
    <t>PC MFD EMB KM EDUGOV 25-49 PER DEV</t>
  </si>
  <si>
    <t>PCMFEKM25</t>
  </si>
  <si>
    <t>PC MFD EMB KM EDUGOV 50-99 PER DEV</t>
  </si>
  <si>
    <t>PCMFEKM50</t>
  </si>
  <si>
    <t>PC MFD EMB KM EDUGOV 500  PER DEV</t>
  </si>
  <si>
    <t>PCMFEKM500</t>
  </si>
  <si>
    <t>USERS NO EMB EDUGOV UP TO 100 USERS</t>
  </si>
  <si>
    <t>PCMFEUSERS100</t>
  </si>
  <si>
    <t>USERS NO EMB EDUGOV UP TO 1000 USERS</t>
  </si>
  <si>
    <t>PCMFEUSERS1000</t>
  </si>
  <si>
    <t>USERS NO EMB EDUGOV UP TO 400 USERS</t>
  </si>
  <si>
    <t>PCMFEUSERS400</t>
  </si>
  <si>
    <t>USERS NO EMB EDUGOV UNLIMITED USERS</t>
  </si>
  <si>
    <t>PCMFEUSERSQTY</t>
  </si>
  <si>
    <t>PC MFD EMB KM LICENSE MIGRATION</t>
  </si>
  <si>
    <t>PCMFMIGRATEKM</t>
  </si>
  <si>
    <t>Maintenance</t>
  </si>
  <si>
    <t>ACDI M&amp;S YEAR 1</t>
  </si>
  <si>
    <t>AMS1</t>
  </si>
  <si>
    <t>ACDI M&amp;S YEARS 1 &amp; 2</t>
  </si>
  <si>
    <t>AMS2</t>
  </si>
  <si>
    <t>ACDI M&amp;S YEARS 12 &amp; 3</t>
  </si>
  <si>
    <t>AMS3</t>
  </si>
  <si>
    <t>ACDI M&amp;S YEARS 123 &amp; 4</t>
  </si>
  <si>
    <t>AMS4</t>
  </si>
  <si>
    <t>ACDI M&amp;S YEARS 1234 &amp; 5</t>
  </si>
  <si>
    <t>AMS5</t>
  </si>
  <si>
    <t>ACDI M&amp;S MINIMUM PER YEAR</t>
  </si>
  <si>
    <t>AMSMIN</t>
  </si>
  <si>
    <t>ACDI ADVANCED M&amp;S YEAR 1</t>
  </si>
  <si>
    <t>AMSPLUS1</t>
  </si>
  <si>
    <t>ACDI ADVANCED M&amp;S YEARS 1 &amp; 2</t>
  </si>
  <si>
    <t>AMSPLUS2</t>
  </si>
  <si>
    <t>ACDI ADVANCED M&amp;S YEARS 12 &amp; 3</t>
  </si>
  <si>
    <t>AMSPLUS3</t>
  </si>
  <si>
    <t>ACDI ADVANCED M&amp;S YEARS 123 &amp; 4</t>
  </si>
  <si>
    <t>AMSPLUS4</t>
  </si>
  <si>
    <t>ACDI ADVANCED M&amp;S YEARS 1234 &amp; 5</t>
  </si>
  <si>
    <t>AMSPLUS5</t>
  </si>
  <si>
    <t>ACDI ADV M&amp;S FOR INT YEAR 1</t>
  </si>
  <si>
    <t>AMSPLUSINT1</t>
  </si>
  <si>
    <t>ACDI ADV M&amp;S FOR INT YEARS 1 &amp; 2</t>
  </si>
  <si>
    <t>AMSPLUSINT2</t>
  </si>
  <si>
    <t>ACDI ADV M&amp;S FOR INT YEARS 12 &amp; 3</t>
  </si>
  <si>
    <t>AMSPLUSINT3</t>
  </si>
  <si>
    <t>ACDI ADV M&amp;S FOR INT YEARS 123 &amp; 4</t>
  </si>
  <si>
    <t>AMSPLUSINT4</t>
  </si>
  <si>
    <t>ACDI ADV M&amp;S FOR INT YEARS 1234 &amp; 5</t>
  </si>
  <si>
    <t>AMSPLUSINT5</t>
  </si>
  <si>
    <t>ACDI ADVANCED M&amp;S MINIMUM PER YEAR</t>
  </si>
  <si>
    <t>AMSPLUSMIN</t>
  </si>
  <si>
    <t>REMOTE INSTAL FEE PER GETSCAN SERVER APP</t>
  </si>
  <si>
    <t>GSREMOTESERVER</t>
  </si>
  <si>
    <t>ACDI M&amp;S 1 MONTH</t>
  </si>
  <si>
    <t>MMS1</t>
  </si>
  <si>
    <t>ACDI M&amp;S 10 MONTHS</t>
  </si>
  <si>
    <t>MMS10</t>
  </si>
  <si>
    <t>ACDI M&amp;S 11 MONTHS</t>
  </si>
  <si>
    <t>MMS11</t>
  </si>
  <si>
    <t>ACDI M&amp;S 2 MONTHS</t>
  </si>
  <si>
    <t>MMS2</t>
  </si>
  <si>
    <t>ACDI M&amp;S 3 MONTHS</t>
  </si>
  <si>
    <t>MMS3</t>
  </si>
  <si>
    <t>ACDI M&amp;S 4 MONTHS</t>
  </si>
  <si>
    <t>MMS4</t>
  </si>
  <si>
    <t>ACDI M&amp;S 5 MONTHS</t>
  </si>
  <si>
    <t>MMS5</t>
  </si>
  <si>
    <t>ACDI M&amp;S 6 MONTHS</t>
  </si>
  <si>
    <t>MMS6</t>
  </si>
  <si>
    <t>ACDI M&amp;S 7 MONTHS</t>
  </si>
  <si>
    <t>MMS7</t>
  </si>
  <si>
    <t>ACDI M&amp;S 8 MONTHS</t>
  </si>
  <si>
    <t>MMS8</t>
  </si>
  <si>
    <t>ACDI M&amp;S 9 MONTHS</t>
  </si>
  <si>
    <t>MMS9</t>
  </si>
  <si>
    <t>ACDI ADVANCED M&amp;S 1 MONTH</t>
  </si>
  <si>
    <t>MMSPLUS1</t>
  </si>
  <si>
    <t>ACDI ADVANCED M&amp;S 10 MONTHS</t>
  </si>
  <si>
    <t>MMSPLUS10</t>
  </si>
  <si>
    <t>ACDI ADVANCED M&amp;S 11 MONTHS</t>
  </si>
  <si>
    <t>MMSPLUS11</t>
  </si>
  <si>
    <t>ACDI ADVANCED M&amp;S 2 MONTHS</t>
  </si>
  <si>
    <t>MMSPLUS2</t>
  </si>
  <si>
    <t>ACDI ADVANCED M&amp;S 3 MONTHS</t>
  </si>
  <si>
    <t>MMSPLUS3</t>
  </si>
  <si>
    <t>ACDI ADVANCED M&amp;S 4 MONTHS</t>
  </si>
  <si>
    <t>MMSPLUS4</t>
  </si>
  <si>
    <t>ACDI ADVANCED M&amp;S 5 MONTHS</t>
  </si>
  <si>
    <t>MMSPLUS5</t>
  </si>
  <si>
    <t>ACDI ADVANCED M&amp;S 6 MONTHS</t>
  </si>
  <si>
    <t>MMSPLUS6</t>
  </si>
  <si>
    <t>ACDI ADVANCED M&amp;S 7 MONTHS</t>
  </si>
  <si>
    <t>MMSPLUS7</t>
  </si>
  <si>
    <t>ACDI ADVANCED M&amp;S 8 MONTHS</t>
  </si>
  <si>
    <t>MMSPLUS8</t>
  </si>
  <si>
    <t>ACDI ADVANCED M&amp;S 9 MONTHS</t>
  </si>
  <si>
    <t>MMSPLUS9</t>
  </si>
  <si>
    <t>ADV MS FOR INTEGRATION 1 MONTH</t>
  </si>
  <si>
    <t>MMSPLUSINT1</t>
  </si>
  <si>
    <t>ADV MS FOR INTEGRATION 10 MONTH</t>
  </si>
  <si>
    <t>MMSPLUSINT10</t>
  </si>
  <si>
    <t>ADV MS FOR INTEGRATION 11 MONTH</t>
  </si>
  <si>
    <t>MMSPLUSINT11</t>
  </si>
  <si>
    <t>ADV MS FOR INTEGRATION 2 MONTH</t>
  </si>
  <si>
    <t>MMSPLUSINT2</t>
  </si>
  <si>
    <t>ADV MS FOR INTEGRATION 3 MONTH</t>
  </si>
  <si>
    <t>MMSPLUSINT3</t>
  </si>
  <si>
    <t>ADV MS FOR INTEGRATION 4 MONTH</t>
  </si>
  <si>
    <t>MMSPLUSINT4</t>
  </si>
  <si>
    <t>ADV MS FOR INTEGRATION 5 MONTH</t>
  </si>
  <si>
    <t>MMSPLUSINT5</t>
  </si>
  <si>
    <t>ADV MS FOR INTEGRATION 6 MONTH</t>
  </si>
  <si>
    <t>MMSPLUSINT6</t>
  </si>
  <si>
    <t>ADV MS FOR INTEGRATION 7 MONTH</t>
  </si>
  <si>
    <t>MMSPLUSINT7</t>
  </si>
  <si>
    <t>ADV MS FOR INTEGRATION 8 MONTH</t>
  </si>
  <si>
    <t>MMSPLUSINT8</t>
  </si>
  <si>
    <t>ADV MS FOR INTEGRATION 9 MONTH</t>
  </si>
  <si>
    <t>MMSPLUSINT9</t>
  </si>
  <si>
    <t>HOSTED EDITION - ONE YEAR TERM ACDI M&amp;S included</t>
  </si>
  <si>
    <t>POHE1</t>
  </si>
  <si>
    <t>HOSTED EDITION - TWO YEAR TERM ACDI M&amp;S included</t>
  </si>
  <si>
    <t>POHE2</t>
  </si>
  <si>
    <t>HOSTED EDITION - THREE YEAR TERM ACDI M&amp;S included</t>
  </si>
  <si>
    <t>POHE3</t>
  </si>
  <si>
    <t>HOSTED EDITION - FOUR YEAR TERM ACDI M&amp;S included</t>
  </si>
  <si>
    <t>POHE4</t>
  </si>
  <si>
    <t>HOSTED EDITION - FIVE YEAR TERM ACDI M&amp;S included</t>
  </si>
  <si>
    <t>POHE5</t>
  </si>
  <si>
    <t>ADDITIONAL  CONNECTION - ONE YEAR TERM ACDI M&amp;S included</t>
  </si>
  <si>
    <t>POHEADD1</t>
  </si>
  <si>
    <t>ADDITIONAL PRINTER CONNECTION 5 YR TERM ACDI M&amp;S included</t>
  </si>
  <si>
    <t>POHEADD2</t>
  </si>
  <si>
    <t>ADDITIONAL PRINTER CONNECTION 4 YR TERM ACDI M&amp;S included</t>
  </si>
  <si>
    <t>POHEADD3</t>
  </si>
  <si>
    <t>ADDITIONAL PRINTER CONNECTION 3 YR TERM ACDI M&amp;S included</t>
  </si>
  <si>
    <t>POHEADD4</t>
  </si>
  <si>
    <t>Miscellaneous Options</t>
  </si>
  <si>
    <t>AU-204H</t>
  </si>
  <si>
    <t>Mag Stripe Card Reader</t>
  </si>
  <si>
    <t>AU-205H</t>
  </si>
  <si>
    <t>IC Card Reader</t>
  </si>
  <si>
    <t>Professional Services</t>
  </si>
  <si>
    <t>ACDI Developer Consulting (per hour)</t>
  </si>
  <si>
    <t>11PCDEV</t>
  </si>
  <si>
    <t>KMBS Professional Project Services</t>
  </si>
  <si>
    <t>7640019485</t>
  </si>
  <si>
    <t>ACDI On-Site Installation &amp; Training, Daily Fee</t>
  </si>
  <si>
    <t>ACDINSTALL</t>
  </si>
  <si>
    <t>DAILY REMOTE INSTAL RATE 8 HOURS</t>
  </si>
  <si>
    <t>MYPCDAILY</t>
  </si>
  <si>
    <t>REMOTE INSTALL PER HALF DAY 4 HOURS</t>
  </si>
  <si>
    <t>MYPCHALF</t>
  </si>
  <si>
    <t>DAILY ON-SITE INSTAL RATE 2 DAY MIN.</t>
  </si>
  <si>
    <t>MYPCONSITE</t>
  </si>
  <si>
    <t>ADERANT INTEGRATION WITH PAPERCUT</t>
  </si>
  <si>
    <t>PCADERANTINT</t>
  </si>
  <si>
    <t>ADVANTAGELAW INTEGRATION WITH PAPERCUT</t>
  </si>
  <si>
    <t>PCADLAWINT</t>
  </si>
  <si>
    <t>Advantage Law integration with PaperCut</t>
  </si>
  <si>
    <t>PCADVANTAGELAWINT</t>
  </si>
  <si>
    <t>Advantage Project Management integration with PaperCut</t>
  </si>
  <si>
    <t>PCADVANTAGEPMINT</t>
  </si>
  <si>
    <t>Ajera integration with PaperCut</t>
  </si>
  <si>
    <t>PCAJERAINT</t>
  </si>
  <si>
    <t xml:space="preserve">Banner Acctng integration with PaperCut </t>
  </si>
  <si>
    <t>PCBANNINT</t>
  </si>
  <si>
    <t>Brief Legal software integration with PaperCut</t>
  </si>
  <si>
    <t>PCBRIEFLEGALINT</t>
  </si>
  <si>
    <t xml:space="preserve">CaseLode integration with PaperCut </t>
  </si>
  <si>
    <t>PCCASEINT</t>
  </si>
  <si>
    <t xml:space="preserve">Client Profiles integration w/ PaperCut </t>
  </si>
  <si>
    <t>PCCLIENTPRFINT</t>
  </si>
  <si>
    <t xml:space="preserve">Clio integration w/ PaperCut </t>
  </si>
  <si>
    <t>PCCLIOINT</t>
  </si>
  <si>
    <t>Deltek integration with PaperCut</t>
  </si>
  <si>
    <t>PCDELTEKINT</t>
  </si>
  <si>
    <t>Elite 3E integration with PaperCut</t>
  </si>
  <si>
    <t>PCELITE3EINT</t>
  </si>
  <si>
    <t xml:space="preserve">PC Elite integration with PaperCut </t>
  </si>
  <si>
    <t>PCELITEINT</t>
  </si>
  <si>
    <t>ESI LAW INTEGRATION WITH PAPERCUT</t>
  </si>
  <si>
    <t>PCESILAWINT</t>
  </si>
  <si>
    <t>Juris integration with PaperCut</t>
  </si>
  <si>
    <t>PCJURISINT</t>
  </si>
  <si>
    <t>PC Law integration with PaperCut</t>
  </si>
  <si>
    <t>PCLAWINT</t>
  </si>
  <si>
    <t>LAW/Pro integration with PaperCut</t>
  </si>
  <si>
    <t>PCLAWSPROINT</t>
  </si>
  <si>
    <t>LEGAL MASTER INTEGRATION WITH PAPERCUT</t>
  </si>
  <si>
    <t>PCLEGALINT</t>
  </si>
  <si>
    <t>LSS Software integration with PaperCut</t>
  </si>
  <si>
    <t>PCLSSSOFTWAREINT</t>
  </si>
  <si>
    <t>NetSuite integration with PaperCut</t>
  </si>
  <si>
    <t>PCNETSUITEINT</t>
  </si>
  <si>
    <t xml:space="preserve">Omega integration with PaperCut </t>
  </si>
  <si>
    <t>PCOMEGAINT</t>
  </si>
  <si>
    <t>Orion Billing System integratio PaperCut</t>
  </si>
  <si>
    <t>PCORIONINT</t>
  </si>
  <si>
    <t>Perfect Practice integration with PaperCut</t>
  </si>
  <si>
    <t>PCPERFECTINT</t>
  </si>
  <si>
    <t>Perfect Law integration with PaperCut</t>
  </si>
  <si>
    <t>PCPERLAWINT</t>
  </si>
  <si>
    <t>Practice Mgmt integration with PaperCut</t>
  </si>
  <si>
    <t>PCPRMGTINT</t>
  </si>
  <si>
    <t>ProLaw integration with PaperCut</t>
  </si>
  <si>
    <t>PCPROLAWINT</t>
  </si>
  <si>
    <t>Quickbooks integration with PaperCut</t>
  </si>
  <si>
    <t>PCQUICKBKSINT</t>
  </si>
  <si>
    <t>Remote Installation fee per embedded license or device</t>
  </si>
  <si>
    <t>PCREMOTEEMB</t>
  </si>
  <si>
    <t>REMOTE INSTAL FEE PER PAYMENT GATEWAY</t>
  </si>
  <si>
    <t>PCREMOTEGW</t>
  </si>
  <si>
    <t>Remote Installation, Configuration, and Implementation (minimum)</t>
  </si>
  <si>
    <t>PCREMOTEMIN</t>
  </si>
  <si>
    <t>REMOTE INSTALLATION PER TICKETING ROOM</t>
  </si>
  <si>
    <t>PCREMOTEROOM</t>
  </si>
  <si>
    <t xml:space="preserve">Remote Installation fee per server with PaperCut software </t>
  </si>
  <si>
    <t>PCREMOTESERVER</t>
  </si>
  <si>
    <t xml:space="preserve">Rippe Kingston integration w/ PaperCut </t>
  </si>
  <si>
    <t>PCRIPPEINT</t>
  </si>
  <si>
    <t>Mobile Print Installation/Configuration</t>
  </si>
  <si>
    <t>PCRMPIC</t>
  </si>
  <si>
    <t>1 Basic Server install   Mobile Print Installation/Configuration</t>
  </si>
  <si>
    <t>PCRMPSERVERSTE</t>
  </si>
  <si>
    <t xml:space="preserve">Sage accounting integration w/ PaperCut </t>
  </si>
  <si>
    <t>PCSAGEINT</t>
  </si>
  <si>
    <t>TABS3 Integration with PaperCut</t>
  </si>
  <si>
    <t>PCTABS3INT</t>
  </si>
  <si>
    <t>Tier 1 system integration with PaperCut</t>
  </si>
  <si>
    <t>PCTIER1INT</t>
  </si>
  <si>
    <t>Tier 2 system integration with PaperCut</t>
  </si>
  <si>
    <t>PCTIER2INT</t>
  </si>
  <si>
    <t>Tier 3 system integration with PaperCut</t>
  </si>
  <si>
    <t>PCTIER3INT</t>
  </si>
  <si>
    <t>Time Matters integration with PaperCut</t>
  </si>
  <si>
    <t>PCTIMEMINT</t>
  </si>
  <si>
    <t>Trial Works integration with PaperCut</t>
  </si>
  <si>
    <t>PCTRIALINT</t>
  </si>
  <si>
    <t>TimeSlips integration with PaperCut</t>
  </si>
  <si>
    <t>PCTSLIPSINT</t>
  </si>
  <si>
    <t>Tussman billing integration with PaperCut</t>
  </si>
  <si>
    <t>PCTUSSINT</t>
  </si>
  <si>
    <t>PrinterOn Hosted Edition per device installation fee</t>
  </si>
  <si>
    <t>POHOSTEDINSTALL</t>
  </si>
  <si>
    <t>PRINTERON SECONDARY SERVER INSTAL CONFIG</t>
  </si>
  <si>
    <t>POREMOTEADDSERVER</t>
  </si>
  <si>
    <t>PrinterOn Device Installation</t>
  </si>
  <si>
    <t>POREMOTEINSTALL</t>
  </si>
  <si>
    <t>PRINTERON REMOTE INSTALL MINIMUM</t>
  </si>
  <si>
    <t>POREMOTEMIN</t>
  </si>
  <si>
    <t>PrinterOn Server Installation</t>
  </si>
  <si>
    <t>POREMOTESERVER</t>
  </si>
  <si>
    <t>REMOTE INSTALL ASSISTANCE HOURLY</t>
  </si>
  <si>
    <t>REMOTEINSTLLASST</t>
  </si>
  <si>
    <t>REMOTE SERVER MIGRATION</t>
  </si>
  <si>
    <t>RMTSERVERMIGRATN</t>
  </si>
  <si>
    <t>Software Options</t>
  </si>
  <si>
    <t>GS - OCR MFP LICENSE UP TO 10 PRICED PER</t>
  </si>
  <si>
    <t>GSOCR10</t>
  </si>
  <si>
    <t>GS - OCR MFP LICENSE 51 - 100 PRICED PER</t>
  </si>
  <si>
    <t>GSOCR100</t>
  </si>
  <si>
    <t>GS - OCR MFP LICENSE 11 TO 25 PRICED PER</t>
  </si>
  <si>
    <t>GSOCR25</t>
  </si>
  <si>
    <t>GS - OCR MFP LICENSE 26 - 50 PRICED PER</t>
  </si>
  <si>
    <t>GSOCR50</t>
  </si>
  <si>
    <t>GS OCR HOTFOLDER ONE LICENSE PER SERVER</t>
  </si>
  <si>
    <t>GSOCRHF</t>
  </si>
  <si>
    <t>GS - OCR MFP LICENSE 101  PRICED PER</t>
  </si>
  <si>
    <t>GSOCRQTY</t>
  </si>
  <si>
    <t>Authorize.Net</t>
  </si>
  <si>
    <t>GWAUTH.NET</t>
  </si>
  <si>
    <t>Blackboard</t>
  </si>
  <si>
    <t>GWBLACKBOARD</t>
  </si>
  <si>
    <t>CardSmith</t>
  </si>
  <si>
    <t>GWCARDSMITH</t>
  </si>
  <si>
    <t>CASHNet</t>
  </si>
  <si>
    <t>GWCASHNET</t>
  </si>
  <si>
    <t>CBORD CS Gold</t>
  </si>
  <si>
    <t>GWCBORDCSGOLD</t>
  </si>
  <si>
    <t>CBORD Odyssey (pre-5.2)</t>
  </si>
  <si>
    <t>GWCBORDODYSSEY</t>
  </si>
  <si>
    <t>CyberSource</t>
  </si>
  <si>
    <t>GWCYBERSOURCE</t>
  </si>
  <si>
    <t>Heartland Payment Gateway</t>
  </si>
  <si>
    <t>GWHEARTLAND</t>
  </si>
  <si>
    <t>Moneris</t>
  </si>
  <si>
    <t>GWMONERIS</t>
  </si>
  <si>
    <t>My Student Account</t>
  </si>
  <si>
    <t>GWMYSACCT</t>
  </si>
  <si>
    <t>Nelnet</t>
  </si>
  <si>
    <t>GWNELNET</t>
  </si>
  <si>
    <t>Official Payments</t>
  </si>
  <si>
    <t>GWOPC</t>
  </si>
  <si>
    <t>PaperCut External Account API Gateway</t>
  </si>
  <si>
    <t>GWPCEAAPI</t>
  </si>
  <si>
    <t>PayPal PayFlow Link</t>
  </si>
  <si>
    <t>GWPPPFL</t>
  </si>
  <si>
    <t>PayPal Website Payments Standard</t>
  </si>
  <si>
    <t>GWPPWSPS</t>
  </si>
  <si>
    <t>TouchNet</t>
  </si>
  <si>
    <t>GWTOUCHNET</t>
  </si>
  <si>
    <t>MYPC ADDITIONAL 10 PC LICENSES</t>
  </si>
  <si>
    <t>MYPCADD10</t>
  </si>
  <si>
    <t>MYPC ADDITIONAL 100 PC LICENSES</t>
  </si>
  <si>
    <t>MYPCADD100</t>
  </si>
  <si>
    <t>MYPC ADDITIONAL 1000 PC LICENSES</t>
  </si>
  <si>
    <t>MYPCADD1000</t>
  </si>
  <si>
    <t>MYPC ADDITIONAL 25 PC LICENSES</t>
  </si>
  <si>
    <t>MYPCADD25</t>
  </si>
  <si>
    <t>MYPC ADDITIONAL 5 PC LICENSES</t>
  </si>
  <si>
    <t>MYPCADD5</t>
  </si>
  <si>
    <t>MYPC ADDITIONAL 50 PC LICENSES</t>
  </si>
  <si>
    <t>MYPCADD50</t>
  </si>
  <si>
    <t>MYPC ADDITIONAL 500 PC LICENSES</t>
  </si>
  <si>
    <t>MYPCADD500</t>
  </si>
  <si>
    <t>MYPC BASE LICENSE</t>
  </si>
  <si>
    <t>MYPCBASE</t>
  </si>
  <si>
    <t>CHARGING MODULE</t>
  </si>
  <si>
    <t>MYPCCHARGE</t>
  </si>
  <si>
    <t>MAPS APPLICATION</t>
  </si>
  <si>
    <t>MYPCMAPS</t>
  </si>
  <si>
    <t>ODBC AUTHENTICATION PROVIDER</t>
  </si>
  <si>
    <t>MYPCODBC</t>
  </si>
  <si>
    <t>TALIS KEY STONE FOR MYPC AUTH PROVIDER</t>
  </si>
  <si>
    <t>MYPCTALIS</t>
  </si>
  <si>
    <t>PC ADDITIONAL PRINT RELEASE STATION</t>
  </si>
  <si>
    <t>PCMFARS</t>
  </si>
  <si>
    <t>ACDI HARDWARE CONN LIC  PER UNIT</t>
  </si>
  <si>
    <t>PCMFCONNECT</t>
  </si>
  <si>
    <t>CARTARDIS COPICODE-IP CONN LIC  PER UNIT</t>
  </si>
  <si>
    <t>PCMFCOPIC</t>
  </si>
  <si>
    <t>CARTARDIS CPAD CONN LIC  PER UNIT</t>
  </si>
  <si>
    <t>PCMFCPAD</t>
  </si>
  <si>
    <t>FR NETWORK CARD READER CONN LIC PER UNIT</t>
  </si>
  <si>
    <t>PCMFFR</t>
  </si>
  <si>
    <t>IDPOINT RELEASE CONN LIC  PER UNIT</t>
  </si>
  <si>
    <t>PCMFIDPOINT</t>
  </si>
  <si>
    <t>ITS/GTS PAY STATION CONN LIC  PER UNIT</t>
  </si>
  <si>
    <t>PCMFITS/GTS</t>
  </si>
  <si>
    <t>PC JOB TICKETING - FABLAB</t>
  </si>
  <si>
    <t>PCMFJTFAB</t>
  </si>
  <si>
    <t>PC JOB TICKETING - MINI PRINT ROOM</t>
  </si>
  <si>
    <t>PCMFJTMINI</t>
  </si>
  <si>
    <t>PC JOB TICKETING - PRINT ROOM</t>
  </si>
  <si>
    <t>PCMFJTROOM</t>
  </si>
  <si>
    <t>PC LIBRARY BRANCH</t>
  </si>
  <si>
    <t>PCMFLIBRARY</t>
  </si>
  <si>
    <t>M3I MAESTRO CONN LIC  PER UNIT</t>
  </si>
  <si>
    <t>PCMFM3I</t>
  </si>
  <si>
    <t>MONWA PAY STATION CONN LIC  PER UNIT</t>
  </si>
  <si>
    <t>PCMFMONWA</t>
  </si>
  <si>
    <t>ITC SYSTEMS NETZTOUCH CONN LIC  PER UNIT</t>
  </si>
  <si>
    <t>PCMFNETZ</t>
  </si>
  <si>
    <t>PC UNLIMITED USER LICENSE CONVERSION</t>
  </si>
  <si>
    <t>PCMFUSERSCONV</t>
  </si>
  <si>
    <t>VIRTUAL CASH ACCEPTOR CONN LIC  PER UNIT</t>
  </si>
  <si>
    <t>PCMFVCA</t>
  </si>
  <si>
    <t>PrinterOn COHO For Enterprise Add On - 100 Printer Pack</t>
  </si>
  <si>
    <t>POCOHOENTADD100</t>
  </si>
  <si>
    <t>PrinterOn COHO For Enterprise Add On - 250 Printer Pack</t>
  </si>
  <si>
    <t>POCOHOENTADD250</t>
  </si>
  <si>
    <t>PrinterOn Enterprise Edition - 10 Printer Pack</t>
  </si>
  <si>
    <t>POENT10</t>
  </si>
  <si>
    <t>PrinterOn Enterprise Edition - 100 Printer Pack</t>
  </si>
  <si>
    <t>POENT100</t>
  </si>
  <si>
    <t>PrinterOn Enterprise Edition - 25 Printer Pack</t>
  </si>
  <si>
    <t>POENT25</t>
  </si>
  <si>
    <t>PrinterOn Enterprise Edition - 250 Printer Pack</t>
  </si>
  <si>
    <t>POENT250</t>
  </si>
  <si>
    <t>PrinterOn Enterprise Edition - 5 Printer Pack</t>
  </si>
  <si>
    <t>POENT5</t>
  </si>
  <si>
    <t>PrinterOn Enterprise Edition - 50 Printer Pack</t>
  </si>
  <si>
    <t>POENT50</t>
  </si>
  <si>
    <t>PrinterOn Enterprise Edition - 500 Printer Pack</t>
  </si>
  <si>
    <t>POENT500</t>
  </si>
  <si>
    <t>PrinterOn Enterprise Edition - 75 Printer Pack</t>
  </si>
  <si>
    <t>POENT75</t>
  </si>
  <si>
    <t>Warranty</t>
  </si>
  <si>
    <t>HARDWARE EXTENDED WARRANTY</t>
  </si>
  <si>
    <t>ACDIEXTWARRANTY</t>
  </si>
  <si>
    <t/>
  </si>
  <si>
    <t>Prism ScanPath Prism ScanPath</t>
  </si>
  <si>
    <t xml:space="preserve">ScanPath is a server based application providing advanced scanning capabilities including OCR to create searchable PDFs; convert documents to editable formats such as Word and Excel.  </t>
  </si>
  <si>
    <t>http://www.prismsoftware.com/products/scanpath/</t>
  </si>
  <si>
    <t>SCANPATH CONNECTION TO 1ST MFP</t>
  </si>
  <si>
    <t>ScanPath, connection to first MFP</t>
  </si>
  <si>
    <t>SP40000</t>
  </si>
  <si>
    <t>SCANPATH EACH ADDITIONAL MFP</t>
  </si>
  <si>
    <t>ScanPath; Each Additional MFP(s), priced each</t>
  </si>
  <si>
    <t>SP40001</t>
  </si>
  <si>
    <t>ScanPath; Value Pack 1, Buy-2-Get-1-Free, with 1 Year Maintenance Included</t>
  </si>
  <si>
    <t>SPVP001</t>
  </si>
  <si>
    <t>ScanPath; Value Pack 2, Buy-2-Get-1-Free, with Extended Year Maintenance included</t>
  </si>
  <si>
    <t>SPVP002</t>
  </si>
  <si>
    <t>Optional Software Maintenance Annual Renewal</t>
  </si>
  <si>
    <t>1 Year Maintenance, ScanPath, connection to first MFP</t>
  </si>
  <si>
    <r>
      <t>SP40000M1</t>
    </r>
    <r>
      <rPr>
        <vertAlign val="superscript"/>
        <sz val="10"/>
        <rFont val="Arial"/>
        <family val="2"/>
      </rPr>
      <t>2</t>
    </r>
  </si>
  <si>
    <t>EXT YR MAINT CONNECTION 1ST MFP</t>
  </si>
  <si>
    <t>Extended Maintenance, ScanPath, connection to first MFP</t>
  </si>
  <si>
    <r>
      <t>SP40000ME</t>
    </r>
    <r>
      <rPr>
        <vertAlign val="superscript"/>
        <sz val="10"/>
        <rFont val="Arial"/>
        <family val="2"/>
      </rPr>
      <t>3</t>
    </r>
  </si>
  <si>
    <t>1 YR MAINT CONNECTION ADDL MFP</t>
  </si>
  <si>
    <t>1 Year Maintenance, ScanPath; Each Additional MFP(s), priced each MFP</t>
  </si>
  <si>
    <t>SP40001M1</t>
  </si>
  <si>
    <t>EXT YR MAINT CONNECTION ADDL MFP</t>
  </si>
  <si>
    <t>Extended Maintenance, ScanPath; Each Additional MFP(s), priced each MFP</t>
  </si>
  <si>
    <t>SP40001ME</t>
  </si>
  <si>
    <t>1 YR MAINT MODULE SCAN-TO-HIS</t>
  </si>
  <si>
    <t>1 Year Maintenance, Module, Scan-to-HIS</t>
  </si>
  <si>
    <t>SP41006M1</t>
  </si>
  <si>
    <t>EXT YR MAINT MODULE SCAN-TO-HIS</t>
  </si>
  <si>
    <t>Extended Maintenance, Module, Scan-to-HIS</t>
  </si>
  <si>
    <t>SP41006ME</t>
  </si>
  <si>
    <t>1 YR MAINT MODULE SCAN-TO-LAB</t>
  </si>
  <si>
    <t>1 Year Maintenance, Module, Scan-to-Lab</t>
  </si>
  <si>
    <t>SP41008M1</t>
  </si>
  <si>
    <t>EXT YR MAINT MODULE SCAN-TO-LAB</t>
  </si>
  <si>
    <t>Extended Maintenance, Module, Scan-to-Lab</t>
  </si>
  <si>
    <t>SP41008ME</t>
  </si>
  <si>
    <t>1 YR MAINT MODULE SCAN-TO-PHARMACY</t>
  </si>
  <si>
    <t>1 Year Maintenance, Module, Scan-to-Pharmacy</t>
  </si>
  <si>
    <t>SP41010M1</t>
  </si>
  <si>
    <t>EXT YR MAINT MODULE SCAN-TO-PHARMACY</t>
  </si>
  <si>
    <t>Extended Maintenance, Module, Scan-to-Pharmacy</t>
  </si>
  <si>
    <t>SP41010ME</t>
  </si>
  <si>
    <t>1 YR MAINT MODULE HL7 CONNECTOR</t>
  </si>
  <si>
    <t>1 Year Maintenance, Module, Secure Healthcare Records (HL7) Connector</t>
  </si>
  <si>
    <t>SP41013M1</t>
  </si>
  <si>
    <t>Optional Software Components</t>
  </si>
  <si>
    <t>Module, Automation</t>
  </si>
  <si>
    <t>AM20001</t>
  </si>
  <si>
    <t>MODULE FOLLOWPRINT</t>
  </si>
  <si>
    <t>Module, Follow Printing</t>
  </si>
  <si>
    <t>SP41002</t>
  </si>
  <si>
    <t>MODULE BARCODE COVER SHEET</t>
  </si>
  <si>
    <t>Module, Barcode Cover Sheet</t>
  </si>
  <si>
    <t>SP41003</t>
  </si>
  <si>
    <t>MODULE BATES STAMPING</t>
  </si>
  <si>
    <t>Module, Bates Stamping (Legal)</t>
  </si>
  <si>
    <t>SP41004</t>
  </si>
  <si>
    <t>MODULE SCAN-TO-HEALTHFLOW</t>
  </si>
  <si>
    <t>Module, Scan-to-HealthFlow (Healthcare)</t>
  </si>
  <si>
    <t>SP41005</t>
  </si>
  <si>
    <t>MODULE SCAN-TO-HIS</t>
  </si>
  <si>
    <t>Module, Scan-to-HIS (Healthcare)</t>
  </si>
  <si>
    <t>SP41006</t>
  </si>
  <si>
    <t>MODULE SCAN-TO-LAB</t>
  </si>
  <si>
    <t>Module, Scan-to-Lab (Healthcare)</t>
  </si>
  <si>
    <t>SP41008</t>
  </si>
  <si>
    <t>MODULE SCAN-TO-PHARMACY</t>
  </si>
  <si>
    <t>Module, Scan-to-Pharmacy (Healthcare)</t>
  </si>
  <si>
    <t>SP41010</t>
  </si>
  <si>
    <t>MODULE HL7 CONNECTOR</t>
  </si>
  <si>
    <t>Module, Secure Healthcare Records Connector (HL7)</t>
  </si>
  <si>
    <t>SP41013</t>
  </si>
  <si>
    <t>Prism Capture</t>
  </si>
  <si>
    <t>Prism Software Integration and/or End-User Training - One Hour - Performed by KMBS</t>
  </si>
  <si>
    <t>7640014968</t>
  </si>
  <si>
    <t>Training and Installation Options</t>
  </si>
  <si>
    <t>Installation, by KMBS, ScanPath MFP Connector</t>
  </si>
  <si>
    <t>7640019949</t>
  </si>
  <si>
    <t>Prism Project Services (Per Hour) and/or Hourly Charge For RemoteÊ Training</t>
  </si>
  <si>
    <t>PS20070</t>
  </si>
  <si>
    <t>Installation, Each ScanPath MFP Connector</t>
  </si>
  <si>
    <t>PS22201</t>
  </si>
  <si>
    <t>Prism Training, On-site 1 day (NO T&amp;E)</t>
  </si>
  <si>
    <t>Prism Training, On-site (client), Up to 6 concurrent students, 1 day (NO T&amp;E)</t>
  </si>
  <si>
    <t>TR20090</t>
  </si>
  <si>
    <t>Prism Training, 1 Day at Prism</t>
  </si>
  <si>
    <t>Prism Training, 1 Day at Prism HQ, 1 Student Seat (NO T&amp;E)</t>
  </si>
  <si>
    <t>TR20093</t>
  </si>
  <si>
    <r>
      <rPr>
        <vertAlign val="superscript"/>
        <sz val="10"/>
        <rFont val="Arial"/>
        <family val="2"/>
      </rPr>
      <t>1</t>
    </r>
    <r>
      <rPr>
        <sz val="10"/>
        <rFont val="Arial"/>
        <family val="2"/>
      </rPr>
      <t>Prism ScanPath Maintenance is now ordered as a separate line item and is no longer provided as a "Bundle" Please ensure when ordering ScanPath you include "1 Year" or "Extended" maintenace with each order.</t>
    </r>
  </si>
  <si>
    <r>
      <rPr>
        <vertAlign val="superscript"/>
        <sz val="10"/>
        <rFont val="Arial"/>
        <family val="2"/>
      </rPr>
      <t>2</t>
    </r>
    <r>
      <rPr>
        <sz val="10"/>
        <rFont val="Arial"/>
        <family val="2"/>
      </rPr>
      <t>ScanPath part nos. with "1 year maintenance include all updates, upgrades, patches, and over-the-phone technical support for the first year only. If maintenance is required after first-year maintenance expires it is purchasable on a year-to-year basis or a five-year basis. If maintenance lapses and is not renewed then the customer cannot access updates, upgrades, patches, and over-the-phone technical support from Prism Software.</t>
    </r>
  </si>
  <si>
    <r>
      <rPr>
        <vertAlign val="superscript"/>
        <sz val="10"/>
        <rFont val="Arial"/>
        <family val="2"/>
      </rPr>
      <t>3</t>
    </r>
    <r>
      <rPr>
        <sz val="10"/>
        <rFont val="Arial"/>
        <family val="2"/>
      </rPr>
      <t>ScanPath part nos. with "extended maintenance includes all updates, upgrades, patches, and over-the-phone technical support for the length of the lease of the hardware with which it was sold (up to maximum 5 years) or,  5 years, whichever is less. When the hardware lease expires then the ScanPath maintenance also expires. If maintenance is required after the extended year maintenance expires it is purchasable on a year-to-year basis or a five-year basis. If maintenance lapses and is not renewed then the customer cannot access updates, upgrades, patches, and over-the-phone technical support from Prism Software.  Standard Maintenance Service Provided: M-F 6:00 AM to 5:00 PM (PST), no holidays. Includes all product updates, full-point upgrades, patches, and over-the-phone technical support. See Product Support and Maintenance Agreement guide for all details.</t>
    </r>
  </si>
  <si>
    <t>Dispatcher Phoenix</t>
  </si>
  <si>
    <t>Dispatcher is a server based application that embeds in the MFP interface and provide a wide range of feature enhancements including, OCR, redaction tools and workflow.</t>
  </si>
  <si>
    <t>https://tinyurl.com/yxr8aruj</t>
  </si>
  <si>
    <t>10 Active Inputs (for Dispatcher Phoenix)</t>
  </si>
  <si>
    <t>7640018969</t>
  </si>
  <si>
    <t>25  Active Inputs (for Dispatcher Phoenix)</t>
  </si>
  <si>
    <t>7640018970</t>
  </si>
  <si>
    <t>50  Active Inputs (for Dispatcher Phoenix)</t>
  </si>
  <si>
    <t>7640018971</t>
  </si>
  <si>
    <t>100 Active Inputs (for Dispatcher Phoenix)</t>
  </si>
  <si>
    <t>7640018972</t>
  </si>
  <si>
    <t>Dispatcher Phoenix Government</t>
  </si>
  <si>
    <t>7640019155</t>
  </si>
  <si>
    <t>500 Active Inputs (for Dispatcher Phoenix)</t>
  </si>
  <si>
    <t>7640020031</t>
  </si>
  <si>
    <t>Main Software Maintenance</t>
  </si>
  <si>
    <t>10 Active Inputs (for DP) Software Maintenance (1 yr.)</t>
  </si>
  <si>
    <t>7640018984</t>
  </si>
  <si>
    <t>25 Active Inputs (for DP) Software Maintenance (1 yr.)</t>
  </si>
  <si>
    <t>7640018985</t>
  </si>
  <si>
    <t>50 Active Inputs (for DP) Software Maintenance (1 yr.)</t>
  </si>
  <si>
    <t>7640018986</t>
  </si>
  <si>
    <t>100 Active Inputs (for DP) Software Maintenance (1 yr.)</t>
  </si>
  <si>
    <t>7640018987</t>
  </si>
  <si>
    <t>10 Active Inputs (for DP) Software Maintenance (3 yrs.)</t>
  </si>
  <si>
    <t>7640018988</t>
  </si>
  <si>
    <t>25 Active Inputs (for DP) Software Maintenance (3 yrs.)</t>
  </si>
  <si>
    <t>7640018989</t>
  </si>
  <si>
    <t>50 Active Inputs (for DP) Software Maintenance (3 yrs.)</t>
  </si>
  <si>
    <t>7640018990</t>
  </si>
  <si>
    <t>100 Active Inputs (for DP) Software Maintenance (3 yrs.)</t>
  </si>
  <si>
    <t>7640018991</t>
  </si>
  <si>
    <t>10 Active Inputs (for DP) Software Maintenance (5 yrs.)</t>
  </si>
  <si>
    <t>7640018992</t>
  </si>
  <si>
    <t>25 Active Inputs (for DP) Software Maintenance (5 yrs.)</t>
  </si>
  <si>
    <t>7640018993</t>
  </si>
  <si>
    <t>50 Active Inputs (for DP) Software Maintenance (5 yrs.)</t>
  </si>
  <si>
    <t>7640018994</t>
  </si>
  <si>
    <t>100 Active Inputs (for DP) Software Maintenance (5 yrs.)</t>
  </si>
  <si>
    <t>7640018995</t>
  </si>
  <si>
    <t>DP Government Software Maintenance 1 yr</t>
  </si>
  <si>
    <t>DP Government Software Maintenance (1 yr.)</t>
  </si>
  <si>
    <t>7640019156</t>
  </si>
  <si>
    <t>DP Government Software Maintenance 3 yrs</t>
  </si>
  <si>
    <t>DP Government Software Maintenance (3 yr.)</t>
  </si>
  <si>
    <t>7640019157</t>
  </si>
  <si>
    <t>DP Government Software Maintenance 5 yrs</t>
  </si>
  <si>
    <t>DP Government Software Maintenance (5 yr.)</t>
  </si>
  <si>
    <t>7640019158</t>
  </si>
  <si>
    <t>Maintenance Reactivation for DP Government</t>
  </si>
  <si>
    <t>Dispatcher Phoenix: Maintenance Reactivation Key - Government</t>
  </si>
  <si>
    <t>7640019159</t>
  </si>
  <si>
    <t>500 Active Inputs (for Dispatcher Phoenix) Software Maintenance (1 yr)</t>
  </si>
  <si>
    <t>7640020032</t>
  </si>
  <si>
    <t>500 Active Inputs (for Dispatcher Phoenix) Software Maintenance (3 yr)</t>
  </si>
  <si>
    <t>7640020033</t>
  </si>
  <si>
    <t>500 Active Inputs (for Dispatcher Phoenix) Software Maintenance (5 yr)</t>
  </si>
  <si>
    <t>7640020034</t>
  </si>
  <si>
    <t>Optional Software</t>
  </si>
  <si>
    <t>DP 1 Additional Active Input</t>
  </si>
  <si>
    <r>
      <t>7640014447</t>
    </r>
    <r>
      <rPr>
        <vertAlign val="superscript"/>
        <sz val="10"/>
        <rFont val="Arial"/>
        <family val="2"/>
      </rPr>
      <t>2</t>
    </r>
  </si>
  <si>
    <t>DP Advanced Bates Stamp</t>
  </si>
  <si>
    <t>7640015729</t>
  </si>
  <si>
    <t>DP Email Bundle</t>
  </si>
  <si>
    <r>
      <t>7640015731</t>
    </r>
    <r>
      <rPr>
        <vertAlign val="superscript"/>
        <sz val="10"/>
        <rFont val="Arial"/>
        <family val="2"/>
      </rPr>
      <t>3</t>
    </r>
  </si>
  <si>
    <t>DP LPR Input</t>
  </si>
  <si>
    <t>7640015732</t>
  </si>
  <si>
    <t>DP 2D Barcode Processing</t>
  </si>
  <si>
    <t>7640015736</t>
  </si>
  <si>
    <t>DP Page Count &amp; Color Route Bundle</t>
  </si>
  <si>
    <t>DP Page Count &amp; Color Route Bundle (for advanced job routing)</t>
  </si>
  <si>
    <t>7640016309</t>
  </si>
  <si>
    <t xml:space="preserve">DP File Parsing Bundle </t>
  </si>
  <si>
    <t>DP File Parsing Bundle (for print file manipulation)</t>
  </si>
  <si>
    <t>7640016311</t>
  </si>
  <si>
    <t>DP KDK Generator &amp; KDK-PDL Converter Bundle</t>
  </si>
  <si>
    <t>7640016313</t>
  </si>
  <si>
    <t>DP OnBase Connector  (requires additional Hyland OnBase license)</t>
  </si>
  <si>
    <t>7640018452</t>
  </si>
  <si>
    <t>DP Worldox Connector</t>
  </si>
  <si>
    <t>7640018613</t>
  </si>
  <si>
    <t>DP Forms Processing (for image data extraction)</t>
  </si>
  <si>
    <t>7640018967</t>
  </si>
  <si>
    <t>DP Distribution Connector Bundle</t>
  </si>
  <si>
    <r>
      <t>7640018968</t>
    </r>
    <r>
      <rPr>
        <vertAlign val="superscript"/>
        <sz val="10"/>
        <rFont val="Arial"/>
        <family val="2"/>
      </rPr>
      <t>4</t>
    </r>
  </si>
  <si>
    <t>DP Rx Shield</t>
  </si>
  <si>
    <t>7640019115</t>
  </si>
  <si>
    <t>DP Workshare Connector</t>
  </si>
  <si>
    <t>7640019202</t>
  </si>
  <si>
    <t>DP Release2Me</t>
  </si>
  <si>
    <t>DP Release2Me 3 Device License</t>
  </si>
  <si>
    <r>
      <t>7640019218</t>
    </r>
    <r>
      <rPr>
        <vertAlign val="superscript"/>
        <sz val="10"/>
        <rFont val="Arial"/>
        <family val="2"/>
      </rPr>
      <t>5</t>
    </r>
  </si>
  <si>
    <t>DP Bubble Grader</t>
  </si>
  <si>
    <t>7640019236</t>
  </si>
  <si>
    <t>DP Mobile 10 User Licenses</t>
  </si>
  <si>
    <t>7640019538</t>
  </si>
  <si>
    <t>DP Mobile 25 User Licenses</t>
  </si>
  <si>
    <t>7640019539</t>
  </si>
  <si>
    <t>DP Mobile 50 User Licenses</t>
  </si>
  <si>
    <t>7640019540</t>
  </si>
  <si>
    <t>DP Mobile 100 User Licenses</t>
  </si>
  <si>
    <t>7640019541</t>
  </si>
  <si>
    <t>DP Mobile 250 User Licenses</t>
  </si>
  <si>
    <t>7640019542</t>
  </si>
  <si>
    <t>DP Mobile 500 User Licenses</t>
  </si>
  <si>
    <t>7640019543</t>
  </si>
  <si>
    <t>DP Mobile 1000 User Licenses</t>
  </si>
  <si>
    <t>7640019544</t>
  </si>
  <si>
    <t>Dispatcher Phoenix OCR Asian Font Pack</t>
  </si>
  <si>
    <t>7640019634</t>
  </si>
  <si>
    <t>Dispatcher Phoenix Workstation (with 1 User License)</t>
  </si>
  <si>
    <t>7640020015</t>
  </si>
  <si>
    <t>DP Batch Indexing Package (with 1 User License)</t>
  </si>
  <si>
    <t>7640020016</t>
  </si>
  <si>
    <t>DP Workstation 10 User Licenses Add-On</t>
  </si>
  <si>
    <t>7640020023</t>
  </si>
  <si>
    <t>DP Batch Indexing 10 User Licenses Add-On</t>
  </si>
  <si>
    <t>7640020027</t>
  </si>
  <si>
    <t>Dispatcher Phoenix Workstation 1 User License Add-On</t>
  </si>
  <si>
    <t>7640020078</t>
  </si>
  <si>
    <t>Dispatcher Phoenix Batch Indexing 1 User License Add-On</t>
  </si>
  <si>
    <t>7640020082</t>
  </si>
  <si>
    <t>Dispatcher Phoenix HL7 Connector</t>
  </si>
  <si>
    <t>DP HL7 Connector</t>
  </si>
  <si>
    <r>
      <t>7640020615</t>
    </r>
    <r>
      <rPr>
        <vertAlign val="superscript"/>
        <sz val="10"/>
        <rFont val="Arial"/>
        <family val="2"/>
      </rPr>
      <t>6</t>
    </r>
  </si>
  <si>
    <t>Dispatcher Phoenix PDF Processing Bundle</t>
  </si>
  <si>
    <t xml:space="preserve">DP PDF Processing Bundle </t>
  </si>
  <si>
    <t>7640020739</t>
  </si>
  <si>
    <t>Dispatcher Phoenix Laserfiche Connector</t>
  </si>
  <si>
    <t>7640020844</t>
  </si>
  <si>
    <t xml:space="preserve">Dispatcher Phoenix Windows Fax Connector </t>
  </si>
  <si>
    <t xml:space="preserve">DP Windows Fax Connector </t>
  </si>
  <si>
    <t>7640020848</t>
  </si>
  <si>
    <t>Dispatcher Phoenix Release2Me 5 Device License</t>
  </si>
  <si>
    <t>DP Release2Me 5 Device License</t>
  </si>
  <si>
    <t>7640020905</t>
  </si>
  <si>
    <t>Dispatcher Phoenix Release2Me 10 Device License</t>
  </si>
  <si>
    <t>DP Release2Me 10 Device License</t>
  </si>
  <si>
    <t>7640020906</t>
  </si>
  <si>
    <t>Dispatcher Phoenix Release2Me 25 Device License</t>
  </si>
  <si>
    <t>DP Release2Me 25 Device License</t>
  </si>
  <si>
    <t>7640020907</t>
  </si>
  <si>
    <t>Dispatcher Phoenix Release2Me 50 Device License</t>
  </si>
  <si>
    <t>DP Release2Me 50 Device License</t>
  </si>
  <si>
    <t>7640020908</t>
  </si>
  <si>
    <t>Dispatcher Phoenix Release2Me 100 Device License</t>
  </si>
  <si>
    <t>DP Release2Me 100 Device License</t>
  </si>
  <si>
    <t>7640020909</t>
  </si>
  <si>
    <t>Dispatcher Phoenix Release2Me 500 Device License</t>
  </si>
  <si>
    <t>DP Release2Me 500 Device License</t>
  </si>
  <si>
    <t>7640020910</t>
  </si>
  <si>
    <t>Dispatcher Phoenix Release2Me 1 Device License</t>
  </si>
  <si>
    <t>DP Release2Me 1 Device License</t>
  </si>
  <si>
    <t>7640020911</t>
  </si>
  <si>
    <t>Dispatcher Phoenix Dropbox In</t>
  </si>
  <si>
    <t>7640020955</t>
  </si>
  <si>
    <t>Optional Software Maintenance</t>
  </si>
  <si>
    <t>DP 1 Additional Active Input Software Maintenance (1 yr.)</t>
  </si>
  <si>
    <t>7640014449</t>
  </si>
  <si>
    <t>DP Advanced Bates Stamp Software Maintenance (1 yr.)</t>
  </si>
  <si>
    <t>7640015766</t>
  </si>
  <si>
    <t>DP SMTP In &amp; Email Parser Bundle Software Maintenance (1 yr.)</t>
  </si>
  <si>
    <t>7640015768</t>
  </si>
  <si>
    <t>DP LPR Input Software Maintenance (1 yr.)</t>
  </si>
  <si>
    <t>7640015769</t>
  </si>
  <si>
    <t>DP 2D Barcode Processing Software Maintenance (1 yr.)</t>
  </si>
  <si>
    <t>7640015773</t>
  </si>
  <si>
    <t>DP 1 Additional Active Input Software Maintenance (3 yrs.)</t>
  </si>
  <si>
    <t>7640015774</t>
  </si>
  <si>
    <t>DP Advanced Bates Stamp Software Maintenance (3 yrs.)</t>
  </si>
  <si>
    <t>7640015775</t>
  </si>
  <si>
    <t>DP SMTP In &amp; Email Parser Bundle Software Maintenance (3 yrs.)</t>
  </si>
  <si>
    <t>7640015777</t>
  </si>
  <si>
    <t>DP LPR Input Software Maintenance (3 yrs.)</t>
  </si>
  <si>
    <t>7640015778</t>
  </si>
  <si>
    <t>DP 2D Barcode Processing Software Maintenance (3 yrs.)</t>
  </si>
  <si>
    <t>7640015782</t>
  </si>
  <si>
    <t>DP 1 Additional Active Input Software Maintenance (5 yrs.)</t>
  </si>
  <si>
    <t>7640015783</t>
  </si>
  <si>
    <t>DP Advanced Bates Stamp Software Maintenance (5 yrs.)</t>
  </si>
  <si>
    <t>7640015784</t>
  </si>
  <si>
    <t>DP SMTP In &amp; Email Parser Bundle Software Maintenance (5 yrs.)</t>
  </si>
  <si>
    <t>7640015786</t>
  </si>
  <si>
    <t>DP LPR Input Software Maintenance (5 yrs.)</t>
  </si>
  <si>
    <t>7640015787</t>
  </si>
  <si>
    <t>DP 2D Barcode Processing Software Maintenance (5 yrs.)</t>
  </si>
  <si>
    <t>7640015791</t>
  </si>
  <si>
    <t>DP Page Count &amp; Color Route Bundle Software Maintenance (1 yr.)</t>
  </si>
  <si>
    <t>7640016316</t>
  </si>
  <si>
    <t>DP File Parsing Bundle Software Maintenance (1 yr.)</t>
  </si>
  <si>
    <t>7640016318</t>
  </si>
  <si>
    <t>DP KDK Generator &amp; KDK-PDL Bundle Software Maintenance (1 yr.)</t>
  </si>
  <si>
    <t>7640016320</t>
  </si>
  <si>
    <t>DP Page Count &amp; Color Route Bundle Software  Maintenance (3 yrs.)</t>
  </si>
  <si>
    <t>7640016323</t>
  </si>
  <si>
    <t>DP File Parsing Bundle Software Maintenance (3 yrs.)</t>
  </si>
  <si>
    <t>7640016325</t>
  </si>
  <si>
    <t>DP KDK Generator &amp; KDK-PDL Bundle Software Maintenance (3 yrs.)</t>
  </si>
  <si>
    <t>7640016327</t>
  </si>
  <si>
    <t>DP Page Count &amp; Color Route Bundle Software Maintenance (5 yrs.)</t>
  </si>
  <si>
    <t>7640016330</t>
  </si>
  <si>
    <t>DP File Parsing  Bundle Software Maintenance (5 yrs.)</t>
  </si>
  <si>
    <t>7640016332</t>
  </si>
  <si>
    <t>DP KDK Generator &amp; KDK-PDL Bundle Software Maintenance (5 yrs.)</t>
  </si>
  <si>
    <t>7640016334</t>
  </si>
  <si>
    <t>DP OnBase Connector Software Maintenance (1 yr.)</t>
  </si>
  <si>
    <t>7640018453</t>
  </si>
  <si>
    <t>DP OnBase Connector Software Maintenance (3 yrs.)</t>
  </si>
  <si>
    <t>7640018454</t>
  </si>
  <si>
    <t>DP OnBase Connector Software Maintenance (5 yrs.)</t>
  </si>
  <si>
    <t>7640018455</t>
  </si>
  <si>
    <t>DP Worldox Connector Software Maintenance (1 yr.)</t>
  </si>
  <si>
    <t>7640018614</t>
  </si>
  <si>
    <t>DP Worldox Connector Software Maintenance (3 yrs.)</t>
  </si>
  <si>
    <t>7640018615</t>
  </si>
  <si>
    <t>DP Worldox Connector Software Maintenance (5 yrs.)</t>
  </si>
  <si>
    <t>7640018616</t>
  </si>
  <si>
    <t>DP Forms Processing Software Maintenance (1 yr.)</t>
  </si>
  <si>
    <t>7640018996</t>
  </si>
  <si>
    <t>DP Forms Processing Software Maintenance (3 yr.)</t>
  </si>
  <si>
    <t>7640018997</t>
  </si>
  <si>
    <t>DP Forms Processing Software Maintenance (5 yr.)</t>
  </si>
  <si>
    <t>7640018998</t>
  </si>
  <si>
    <t>DP Distribution Connector Bundle Software Maintenance (1 yr.)</t>
  </si>
  <si>
    <t>7640018999</t>
  </si>
  <si>
    <t>DP Distribution Connector Bundle Software Maintenance (3 yr.)</t>
  </si>
  <si>
    <t>7640019000</t>
  </si>
  <si>
    <t>DP Distribution Connector Bundle Software Maintenance (5 yr.)</t>
  </si>
  <si>
    <t>7640019001</t>
  </si>
  <si>
    <t>DP Rx Shield Software Maintenance (1 yr.)</t>
  </si>
  <si>
    <t>7640019116</t>
  </si>
  <si>
    <t>DP Rx Shield Software Maintenance (3 yr.)</t>
  </si>
  <si>
    <t>7640019117</t>
  </si>
  <si>
    <t>DP Rx Shield Software Maintenance (5 yr.)</t>
  </si>
  <si>
    <t>7640019118</t>
  </si>
  <si>
    <t>DP Workshare Connector Software Maintenance (1 yr.)</t>
  </si>
  <si>
    <t>7640019203</t>
  </si>
  <si>
    <t>DP Workshare Connector Software Maintenance (3 yrs.)</t>
  </si>
  <si>
    <t>7640019204</t>
  </si>
  <si>
    <t>DP Workshare Connector Software Maintenance (5 yrs.)</t>
  </si>
  <si>
    <t>7640019205</t>
  </si>
  <si>
    <t>DP Release2Me 3 Device (1 yr.) SW Maint</t>
  </si>
  <si>
    <t>7640019219</t>
  </si>
  <si>
    <t>DP Release2Me 3 Device (3 yr.) SW Maint</t>
  </si>
  <si>
    <t>7640019220</t>
  </si>
  <si>
    <t>DP Release2Me 3 Device (5 yr.) SW Maint</t>
  </si>
  <si>
    <t>7640019221</t>
  </si>
  <si>
    <t>DP Bubble Grader Software Maintenance (1 yr.)</t>
  </si>
  <si>
    <t>7640019237</t>
  </si>
  <si>
    <t>DP Bubble Grader Software Maintenance (3 yrs.)</t>
  </si>
  <si>
    <t>7640019238</t>
  </si>
  <si>
    <t>DP Bubble Grader Software Maintenance (5 yrs.)</t>
  </si>
  <si>
    <t>7640019239</t>
  </si>
  <si>
    <t>DP Mobile 10 User Lic. SW Maint (1 yr)</t>
  </si>
  <si>
    <t>7640019545</t>
  </si>
  <si>
    <t>DP Mobile 10 User Lic. SW Maint (3 yr)</t>
  </si>
  <si>
    <t>7640019546</t>
  </si>
  <si>
    <t>DP Mobile 10 User Lic. SW Maint (5 yr)</t>
  </si>
  <si>
    <t>7640019547</t>
  </si>
  <si>
    <t>DP Mobile 25 User Licenses Software Maintenance (1 yr)</t>
  </si>
  <si>
    <t>7640019548</t>
  </si>
  <si>
    <t>DP Mobile 25 User Licenses  Software Maintenance (3 yr)</t>
  </si>
  <si>
    <t>7640019549</t>
  </si>
  <si>
    <t>DP Mobile 25 User Licenses Software Maintenance (5 yr)</t>
  </si>
  <si>
    <t>7640019550</t>
  </si>
  <si>
    <t>DP Mobile 50 User Lic. SW Maint (1 yr)</t>
  </si>
  <si>
    <t>7640019551</t>
  </si>
  <si>
    <t>DP Mobile 50 User Lic. SW Maint (3 yr)</t>
  </si>
  <si>
    <t>7640019552</t>
  </si>
  <si>
    <t>DP Mobile 50 User Lic. SW Maint (5 yr)</t>
  </si>
  <si>
    <t>7640019553</t>
  </si>
  <si>
    <t>DP Mobile 100 User Lic. SW Maint (1 yr)</t>
  </si>
  <si>
    <t>7640019554</t>
  </si>
  <si>
    <t>DP Mobile 100 User Lic.  SW Maint (3 yr)</t>
  </si>
  <si>
    <t>7640019555</t>
  </si>
  <si>
    <t>DP Mobile 100 User Lic.  SW Maint (5 yr)</t>
  </si>
  <si>
    <t>7640019556</t>
  </si>
  <si>
    <t>DP Mobile 250 User Lic.  SW Maint (1 yr)</t>
  </si>
  <si>
    <t>7640019557</t>
  </si>
  <si>
    <t>DP Mobile 250 User Lic. SW Maint (3 yr)</t>
  </si>
  <si>
    <t>7640019558</t>
  </si>
  <si>
    <t>DP Mobile 250 User Lic. SW Maint (5 yr)</t>
  </si>
  <si>
    <t>7640019559</t>
  </si>
  <si>
    <t>DP Mobile 500 User Lic.  SW Maint (1 yr)</t>
  </si>
  <si>
    <t>7640019560</t>
  </si>
  <si>
    <t>DP Mobile 500 User Lic. SW Maint (3 yr)</t>
  </si>
  <si>
    <t>7640019561</t>
  </si>
  <si>
    <t>DP Mobile 500 User Lic. SW Maint (5 yr)</t>
  </si>
  <si>
    <t>7640019562</t>
  </si>
  <si>
    <t>DP Mobile 1000 User Lic. SW Maint (1 yr)</t>
  </si>
  <si>
    <t>7640019563</t>
  </si>
  <si>
    <t>DP Mobile 1000 User Lic. SW Maint (3 yr)</t>
  </si>
  <si>
    <t>7640019564</t>
  </si>
  <si>
    <t>DP Mobile 1000 User Lic. SW Maint (5 yr)</t>
  </si>
  <si>
    <t>7640019565</t>
  </si>
  <si>
    <t>DP OCR Asian Font Pack SW Maintenance (1 yr.)</t>
  </si>
  <si>
    <t>7640019635</t>
  </si>
  <si>
    <t>DP OCR Asian Font Pack Software Maintenance (3 yr.)</t>
  </si>
  <si>
    <t>7640019636</t>
  </si>
  <si>
    <t>DP OCR Asian Font Pack Software Maintenance (5 yr.)</t>
  </si>
  <si>
    <t>7640019637</t>
  </si>
  <si>
    <t>Dispatcher Phoenix Workstation (with 1 User License) Software Maintenance (1 yr.)</t>
  </si>
  <si>
    <t>7640020017</t>
  </si>
  <si>
    <t>Dispatcher Phoenix Workstation (with 1 User License) Software Maintenance (3 yr.)</t>
  </si>
  <si>
    <t>7640020018</t>
  </si>
  <si>
    <t>Dispatcher Phoenix Workstation (with 1 User License) Software Maintenance (5 yr.)</t>
  </si>
  <si>
    <t>7640020019</t>
  </si>
  <si>
    <t xml:space="preserve">DP Batch Indexing Package (with 1 User License) Software Maintenance (1 yr) </t>
  </si>
  <si>
    <t>7640020020</t>
  </si>
  <si>
    <t xml:space="preserve">DP Batch Indexing Package (with 1 User License) Software Maintenance (3 yr) </t>
  </si>
  <si>
    <t>7640020021</t>
  </si>
  <si>
    <t xml:space="preserve">DP Batch Indexing Package (with 1 User License) Software Maintenance (5 yr) </t>
  </si>
  <si>
    <t>7640020022</t>
  </si>
  <si>
    <t>Dispatcher Phoenix Workstation 10 User Licenses Add-On Software Maintenance (1 yr.)</t>
  </si>
  <si>
    <t>7640020024</t>
  </si>
  <si>
    <t>Dispatcher Phoenix Workstation 10 User Licenses Add-On Software Maintenance (3 yr.)</t>
  </si>
  <si>
    <t>7640020025</t>
  </si>
  <si>
    <t>Dispatcher Phoenix Workstation 10 User Licenses Add-On Software Maintenance (5 yr.)</t>
  </si>
  <si>
    <t>7640020026</t>
  </si>
  <si>
    <t>Dispatcher Phoenix Batch Indexing 10 User Licenses Add-On Software Maintenance (1 yr.)</t>
  </si>
  <si>
    <t>7640020028</t>
  </si>
  <si>
    <t>Dispatcher Phoenix Batch Indexing 10 User Licenses Add-On Software Maintenance (3 yr.)</t>
  </si>
  <si>
    <t>7640020029</t>
  </si>
  <si>
    <t>Dispatcher Phoenix Batch Indexing 10 User Licenses Add-On Software Maintenance (5 yr.)</t>
  </si>
  <si>
    <t>7640020030</t>
  </si>
  <si>
    <t>Dispatcher Phoenix Workstation 1 User License Add-On Software Maintenance (1 yr.)</t>
  </si>
  <si>
    <t>7640020079</t>
  </si>
  <si>
    <t>Dispatcher Phoenix Workstation 1 User License Add-On Software Maintenance (3 yr.)</t>
  </si>
  <si>
    <t>7640020080</t>
  </si>
  <si>
    <t>Dispatcher Phoenix Workstation 1 User License Add-On Software Maintenance (5 yr.)</t>
  </si>
  <si>
    <t>7640020081</t>
  </si>
  <si>
    <t>Dispatcher Phoenix Batch Indexing 1 User License Add-On Software Maintenance (1 yr.)</t>
  </si>
  <si>
    <t>7640020083</t>
  </si>
  <si>
    <t>Dispatcher Phoenix Batch Indexing 1 User License Add-On Software Maintenance (3 yr.)</t>
  </si>
  <si>
    <t>7640020084</t>
  </si>
  <si>
    <t>Dispatcher Phoenix Batch Indexing 1 User License Add-On Software Maintenance (5 yr.)</t>
  </si>
  <si>
    <t>7640020085</t>
  </si>
  <si>
    <t>DP HL7 Bundle Software Maintenance (1 Year)</t>
  </si>
  <si>
    <t>7640020616</t>
  </si>
  <si>
    <t>DP HL7 Bundle Software Maintenance (3 Years)</t>
  </si>
  <si>
    <t>7640020617</t>
  </si>
  <si>
    <t>DP HL7 Bundle Software Maintenance (5 Years)</t>
  </si>
  <si>
    <t>7640020618</t>
  </si>
  <si>
    <t>Dispatcher Phoenix PDF Processing Bundle Software Maintenance (1 Year)</t>
  </si>
  <si>
    <t>DP PDF Processing Bundle SW Maintenance (1 Year)</t>
  </si>
  <si>
    <t>7640020740</t>
  </si>
  <si>
    <t>Dispatcher Phoenix PDF Processing Bundle Software Maintenance (3 Years)</t>
  </si>
  <si>
    <t>DP PDF Processing Bundle SW Maintenance (3 Year)</t>
  </si>
  <si>
    <t>7640020741</t>
  </si>
  <si>
    <t>Dispatcher Phoenix PDF Processing Bundle Software Maintenance (5 Years)</t>
  </si>
  <si>
    <t>DP PDF Processing Bundle SW Maintenance (5 Year)</t>
  </si>
  <si>
    <t>7640020742</t>
  </si>
  <si>
    <t>Dispatcher Phoenix Laserfiche Connector Software Maintenance (1 Year)</t>
  </si>
  <si>
    <t>DP Laserfiche Connector SW Maint.(1 Yr)</t>
  </si>
  <si>
    <t>7640020845</t>
  </si>
  <si>
    <t>Dispatcher Phoenix Laserfiche  Connector Software Maintenance (3 Years)</t>
  </si>
  <si>
    <t>DP Laserfiche Connector SW Maint. (3 Yr)</t>
  </si>
  <si>
    <t>7640020846</t>
  </si>
  <si>
    <t>Dispatcher Phoenix Laserfiche   Connector Software Maintenance (5 Years)</t>
  </si>
  <si>
    <t>DP Laserfiche Connector SW Maint. (5 Yr)</t>
  </si>
  <si>
    <t>7640020847</t>
  </si>
  <si>
    <t>Dispatcher Phoenix Windows Fax Connector Software Maintenance (1 Year)</t>
  </si>
  <si>
    <t>DP Windows Fax Connector SW Maint.(1 Yr)</t>
  </si>
  <si>
    <t>7640020849</t>
  </si>
  <si>
    <t>Dispatcher Phoenix Windows Fax Connector Software Maintenance (3 Years)</t>
  </si>
  <si>
    <t>DP Windows Fax Connector SW Maint.(3 Yr)</t>
  </si>
  <si>
    <t>7640020850</t>
  </si>
  <si>
    <t>Dispatcher Phoenix Windows Fax  Connector Software Maintenance (5 Years)</t>
  </si>
  <si>
    <t>DP Windows Fax Connector SW Maint.(5 Yr)</t>
  </si>
  <si>
    <t>7640020851</t>
  </si>
  <si>
    <t>Dispatcher Phoenix Release2Me 5 Device License 1 Year Software Maintenance</t>
  </si>
  <si>
    <t>DP Release2Me 5 Device (1 Yr) SW Maint</t>
  </si>
  <si>
    <t>7640020912</t>
  </si>
  <si>
    <t>Dispatcher Phoenix Release2Me 5 Device License 3 Year Software Maintenance</t>
  </si>
  <si>
    <t>DP Release2Me 5 Device (3 Yr) SW Maint</t>
  </si>
  <si>
    <t>7640020913</t>
  </si>
  <si>
    <t>Dispatcher Phoenix Release2Me 5 Device License 5 Year Software Maintenance</t>
  </si>
  <si>
    <t>DP Release2Me 5 Device (5 Yr) SW Maint</t>
  </si>
  <si>
    <t>7640020914</t>
  </si>
  <si>
    <t>Dispatcher Phoenix Release2Me 10 Device License 1 Year Software Maintenance</t>
  </si>
  <si>
    <t>DP Release2Me 10 Device (1 Yr) SW Maint</t>
  </si>
  <si>
    <t>7640020915</t>
  </si>
  <si>
    <t>Dispatcher Phoenix Release2Me 10 Device License 3 Year Software Maintenance</t>
  </si>
  <si>
    <t>DP Release2Me 10 Device (3 Yr) SW Maint</t>
  </si>
  <si>
    <t>7640020916</t>
  </si>
  <si>
    <t>Dispatcher Phoenix Release2Me 10 Device License 5 Year Software Maintenance</t>
  </si>
  <si>
    <t>DP Release2Me 10 Device (5 Yr) SW Maint</t>
  </si>
  <si>
    <t>7640020917</t>
  </si>
  <si>
    <t>Dispatcher Phoenix Release2Me 25 Device License 1 Year Software Maintenance</t>
  </si>
  <si>
    <t>DP Release2Me 25 Device (1 Yr) SW Maint</t>
  </si>
  <si>
    <t>7640020918</t>
  </si>
  <si>
    <t>Dispatcher Phoenix Release2Me 25 Device License 3 Year Software Maintenance</t>
  </si>
  <si>
    <t>DP Release2Me 25 Device (3 Yr) SW Maint</t>
  </si>
  <si>
    <t>7640020919</t>
  </si>
  <si>
    <t>Dispatcher Phoenix Release2Me 25 Device License 5 Year Software Maintenance</t>
  </si>
  <si>
    <t>DP Release2Me 25 Device (5 Yr) SW Maint</t>
  </si>
  <si>
    <t>7640020920</t>
  </si>
  <si>
    <t>Dispatcher Phoenix Release2Me 50 Device License 1 Year Software Maintenance</t>
  </si>
  <si>
    <t>DP Release2Me 50 Device (1 Yr) SW Maint</t>
  </si>
  <si>
    <t>7640020921</t>
  </si>
  <si>
    <t>Dispatcher Phoenix Release2Me 50 Device License 3 Year Software Maintenance</t>
  </si>
  <si>
    <t>DP Release2Me 50 Device (3 Yr) SW Maint</t>
  </si>
  <si>
    <t>7640020922</t>
  </si>
  <si>
    <t>Dispatcher Phoenix Release2Me 50 Device License 5 Year Software Maintenance</t>
  </si>
  <si>
    <t>DP Release2Me 50 Device (5 Yr) SW Maint</t>
  </si>
  <si>
    <t>7640020923</t>
  </si>
  <si>
    <t>Dispatcher Phoenix Release2Me 100 Device License 1 Year Software Maintenance</t>
  </si>
  <si>
    <t>DP Release2Me 100 Device (1 Yr) SW Maint</t>
  </si>
  <si>
    <t>7640020924</t>
  </si>
  <si>
    <t>Dispatcher Phoenix Release2Me 100 Device License 3 Year Software Maintenance</t>
  </si>
  <si>
    <t>DP Release2Me 100 Device (3 Yr) SW Maint</t>
  </si>
  <si>
    <t>7640020925</t>
  </si>
  <si>
    <t>Dispatcher Phoenix Release2Me 100 Device License 5 Year Software Maintenance</t>
  </si>
  <si>
    <t>DP Release2Me 100 Device (5 Yr) SW Maint</t>
  </si>
  <si>
    <t>7640020926</t>
  </si>
  <si>
    <t>Dispatcher Phoenix Release2Me 500 Device License 1 Year Software Maintenance</t>
  </si>
  <si>
    <t>DP Release2Me 500 Device (1 Yr) SW Maint</t>
  </si>
  <si>
    <t>7640020927</t>
  </si>
  <si>
    <t>Dispatcher Phoenix Release2Me 500 Device License 3 Year Software Maintenance</t>
  </si>
  <si>
    <t>DP Release2Me 500 Device (3 Yr) SW Maint</t>
  </si>
  <si>
    <t>7640020928</t>
  </si>
  <si>
    <t>Dispatcher Phoenix Release2Me 500 Device License 5 Year Software Maintenance</t>
  </si>
  <si>
    <t>DP Release2Me 500 Device (5 Yr) SW Maint</t>
  </si>
  <si>
    <t>7640020929</t>
  </si>
  <si>
    <t>Dispatcher Phoenix Release2Me 1 Device License 1 Year Software Maintenance</t>
  </si>
  <si>
    <t>DP Release2Me 1 Device (1 Yr) SW Maint</t>
  </si>
  <si>
    <t>7640020938</t>
  </si>
  <si>
    <t>Dispatcher Phoenix Release2Me 1 Device License 3 Year Software Maintenance</t>
  </si>
  <si>
    <t>DP Release2Me 1 Device (3 Yr) SW Maint</t>
  </si>
  <si>
    <t>7640020939</t>
  </si>
  <si>
    <t>Dispatcher Phoenix Release2Me 1 Device License 5 Year Software Maintenance</t>
  </si>
  <si>
    <t>DP Release2Me 1 Device (5 Yr) SW Maint</t>
  </si>
  <si>
    <t>7640020940</t>
  </si>
  <si>
    <t>Dispatcher Phoenix Dropbox In Software Maintenance (1 Year)</t>
  </si>
  <si>
    <t>7640020956</t>
  </si>
  <si>
    <t>Dispatcher Phoenix Dropbox In Software Maintenance (3 Year)</t>
  </si>
  <si>
    <t>7640020957</t>
  </si>
  <si>
    <t>Dispatcher Phoenix Dropbox In Software Maintenance (5 Year)</t>
  </si>
  <si>
    <t>7640020958</t>
  </si>
  <si>
    <t>Konica Minolta SEC Development Services for Dispatcher Phoenix (Per Hour)</t>
  </si>
  <si>
    <t>7640005346</t>
  </si>
  <si>
    <t>Remote Installation Services performed by SEC (up to 4 hours)</t>
  </si>
  <si>
    <t>7640015792</t>
  </si>
  <si>
    <r>
      <rPr>
        <vertAlign val="superscript"/>
        <sz val="10"/>
        <rFont val="Arial"/>
        <family val="2"/>
      </rPr>
      <t>1</t>
    </r>
    <r>
      <rPr>
        <sz val="10"/>
        <rFont val="Arial"/>
        <family val="2"/>
      </rPr>
      <t>Dispatcher Phoenix Government includes 2 Active Inputs, Google Cloud Input, Advanced OCR, Barcode Processing, Barcode Writer, Convert to Microsoft Office, Convert to PDF, Highlight/Strikeout, Redaction, SharePoint Connector, SharePoint Online Connector, CAC/PIV authentication, Copy Defender, Metadata Bundle (Metadata Route, Metadata to File, Metadata Scripting, PJL Print Preferences, and PDF File Extraction), ODBC Processing. Your Konica Minolta BIS Regional Solutions Consultant must be engaged prior to ordering Dispatcher Phoenix software with any customization. A Business Needs Analysis (BNA) must be completed and approved for remote installation services and professional services performed by Konica Minolta's Solutions Engineering Center.</t>
    </r>
  </si>
  <si>
    <r>
      <rPr>
        <vertAlign val="superscript"/>
        <sz val="10"/>
        <rFont val="Arial"/>
        <family val="2"/>
      </rPr>
      <t>2</t>
    </r>
    <r>
      <rPr>
        <sz val="10"/>
        <rFont val="Arial"/>
        <family val="2"/>
      </rPr>
      <t>All Dispatcher Phoenix software options must include the corresponding annual maintenance for each option.Active Input: An Active Input is any entry point in a workflow that is running or scheduled to run. Inputs in Dispatcher Phoenix are bEST, Input Folder, MFP, LPR In,  SMTP In, Google Cloud Printer, Workstation, and DP Mobile. Active inputs are counted across multiple workflows by IP address/Host name, Input folder path, or LPR queue name. This means that one device used in multiple workflows is only counted as ONE active input. Multiple input nodes, such as bEST, SMTP In, and MFP, that use the same device will only be counted as ONE active input. Similarly, if multiple Input Folders in multiple workflows are collecting from the same folder path, they are only counted as ONE active input.</t>
    </r>
  </si>
  <si>
    <r>
      <rPr>
        <vertAlign val="superscript"/>
        <sz val="10"/>
        <rFont val="Arial"/>
        <family val="2"/>
      </rPr>
      <t>3</t>
    </r>
    <r>
      <rPr>
        <sz val="10"/>
        <rFont val="Arial"/>
        <family val="2"/>
      </rPr>
      <t>05/2/2019 Modified Model Description...MRz The Email Bundle includes Email In, SMTP In, and Email Parser.</t>
    </r>
  </si>
  <si>
    <r>
      <rPr>
        <vertAlign val="superscript"/>
        <sz val="10"/>
        <rFont val="Arial"/>
        <family val="2"/>
      </rPr>
      <t>4</t>
    </r>
    <r>
      <rPr>
        <sz val="10"/>
        <rFont val="Arial"/>
        <family val="2"/>
      </rPr>
      <t xml:space="preserve">The Distribution Connector Bundle includes connectors to Box, Dropbox, WebDAV, Microsoft OneDrive, Microsoft OneDrive for Business, FilesAnywhere, Konica Minolta's FileAssist, and Google Drive.				</t>
    </r>
  </si>
  <si>
    <r>
      <rPr>
        <vertAlign val="superscript"/>
        <sz val="10"/>
        <rFont val="Arial"/>
        <family val="2"/>
      </rPr>
      <t>5</t>
    </r>
    <r>
      <rPr>
        <sz val="10"/>
        <rFont val="Arial"/>
        <family val="2"/>
      </rPr>
      <t xml:space="preserve">Release2Me: The Release2Me package includes: the Release2Me node, the PJL Print Preferences node, the LPR In node, a system-defined workflow, and the Dispatcher Phoenix Release2Me Print Driver. Note that the PJL Print Preferences node is also included with the Metadata Bundle item.
</t>
    </r>
  </si>
  <si>
    <r>
      <rPr>
        <vertAlign val="superscript"/>
        <sz val="10"/>
        <rFont val="Arial"/>
        <family val="2"/>
      </rPr>
      <t>6</t>
    </r>
    <r>
      <rPr>
        <sz val="10"/>
        <rFont val="Arial"/>
        <family val="2"/>
      </rPr>
      <t xml:space="preserve">The HL7 Bundle includes HL7 Connector and the CDA Generator Tool.
</t>
    </r>
  </si>
  <si>
    <t>Bizhub Marketplace</t>
  </si>
  <si>
    <t>Bizhub Marketplace allows users to download applications directly on the MFP console from the web based marketplace.</t>
  </si>
  <si>
    <t>https://us.konicaminoltamarketplace.com/</t>
  </si>
  <si>
    <t>Integration</t>
  </si>
  <si>
    <t>Konica Minolta SEC Consultation Services for Dispatcher Phoenix (Per Hour)</t>
  </si>
  <si>
    <t>7640005345</t>
  </si>
  <si>
    <t>Connect to OnBase App</t>
  </si>
  <si>
    <t>bizhub Connector to OnBase App</t>
  </si>
  <si>
    <t>A006R59</t>
  </si>
  <si>
    <t>bizhub  Connector for OneDrive</t>
  </si>
  <si>
    <t>A006R60</t>
  </si>
  <si>
    <t>bizhub Connnector for Box</t>
  </si>
  <si>
    <t>A006R61</t>
  </si>
  <si>
    <t>bizhub Connector for Gmail</t>
  </si>
  <si>
    <t>A006R62</t>
  </si>
  <si>
    <t>bizhub Connector for Google Drive</t>
  </si>
  <si>
    <t>Connector for Google Drive</t>
  </si>
  <si>
    <t>A006R63</t>
  </si>
  <si>
    <t>Connect to Microsoft SharePoint</t>
  </si>
  <si>
    <t>A006R64</t>
  </si>
  <si>
    <t>bizhub MFP UI Device License</t>
  </si>
  <si>
    <t>A006R65</t>
  </si>
  <si>
    <t>bizhub Connector for FileAssist</t>
  </si>
  <si>
    <t>bizhub Connector for FileAssist -Connector for FileAssist</t>
  </si>
  <si>
    <t>A006R72</t>
  </si>
  <si>
    <t>Share PHI (also known as Kno2fax App)</t>
  </si>
  <si>
    <t>bizhub  Connector for FamilySearch</t>
  </si>
  <si>
    <t xml:space="preserve">Connector for FamilySearch </t>
  </si>
  <si>
    <t>A006R74</t>
  </si>
  <si>
    <t>bizhub Connector for FilesAnywhere</t>
  </si>
  <si>
    <t>Connector for FilesAnywhere</t>
  </si>
  <si>
    <t>A006R75</t>
  </si>
  <si>
    <t>Connector for SMB</t>
  </si>
  <si>
    <t>bizhub Connector for SMB</t>
  </si>
  <si>
    <t>A006R76</t>
  </si>
  <si>
    <t>bizhub Connector for FTP</t>
  </si>
  <si>
    <t>A006R77</t>
  </si>
  <si>
    <t>bizhub Connector for WebDAV</t>
  </si>
  <si>
    <t>A006R78</t>
  </si>
  <si>
    <t>Paper Templates</t>
  </si>
  <si>
    <t>A006R79</t>
  </si>
  <si>
    <t>bizhub Secure Notifier</t>
  </si>
  <si>
    <t>bizhub SECURE Notifier</t>
  </si>
  <si>
    <t>bizhub Connector for SharePoint Online</t>
  </si>
  <si>
    <t>Connector for SharePoint Online</t>
  </si>
  <si>
    <t>A006T07</t>
  </si>
  <si>
    <t>Connector for OneDrive for Business</t>
  </si>
  <si>
    <t>A006T08</t>
  </si>
  <si>
    <t>bizhub Connnector for Dropbox</t>
  </si>
  <si>
    <t>A006T09</t>
  </si>
  <si>
    <r>
      <rPr>
        <vertAlign val="superscript"/>
        <sz val="10"/>
        <rFont val="Arial"/>
        <family val="2"/>
      </rPr>
      <t>1</t>
    </r>
    <r>
      <rPr>
        <sz val="10"/>
        <rFont val="Arial"/>
        <family val="2"/>
      </rPr>
      <t xml:space="preserve">ORDERING INSTRUCTIONS
Please Note: There are two purchasing methods available for MarketPlace apps.
Option 1: Sales personnel can use the item numbers provided on the MarketPlace price sheet to order any MarketPlace App available. The Marketplace Apps' item numbers can be listed on sales orders in the same way that other solutions and hardware are listed.
Option 2: Customers can purchase the App directly from the Konica Minolta MarketPlace website by themselves. This option is recommended when the customer would like to purchase a few (one two) apps. Customers be charged sales tax on any credit card transactions.
Sales Rep: In order to install MarketPlace apps, the customer must have a Konica Minolta MarketPlace account. If the customer does not have an account already set up, work with them to create an account on the konicaminoltamarketplace.com website.
DELIVERY AND INSTALLATION
There are NO delivery fees required for MarketPlace apps.
If apps are ordered/purchased via SAP, a MarketPlace certificate with a purchase code will be emailed to the email address listed on the order. Users can then paste that purchase code on the Konica Minolta MarketPlace website to credit the licenses they purchased to their account. Please note that ONE purchase code will be credited to ONE MarketPlace user, unless special instructions are provided.
Accessing the Marketplace from the MFP control panel:
TO BEGIN - Tap on the MarketPlace button on the bizhub MFP screen. The apps that are currently installed will be displayed.
INSTALL - Tap on the Install button next to the app you want to install. You’ll be able to watch the installation process taking place.
Please note that the Connect to OnBase app requires the appropriate license from Konica Minolta, as well as an OnBase integration license for the appropriate KM product (MarketPlace) from Hyland Software.
SUPPORTED DEVICES AND REQUIRED OPTIONS
MarketPlace apps require that each MFP have both the Web Browser i-Option and Extended Memory Kit. Please check www.konicaminoltamarketplace.com for a list of compatible devices.
TECHNICAL SUPPORT
For MarketPlace assistance, local technical personnel can call our Support line at 1-800-456-5664 (Prompt 1 for Service, then prompt 3 for Help Desk) Monday through Friday between the hours of 8:00 am and 8:00 pm (EST).
Hyland Software Customer Instructions (Required): Customers needing to purchase the required 'Integration for Konica Minolta bizhub MarketPlace MFP' license from Hyland Software should contact their Hyland Software Account Manager or their supporting Hyland reseller directly. Licensing is a two-part process; without both licenses, the customer will not be able to connect their MFP to their OnBase Sever.
FREE APPS
The following apps are available at no cost and can be purchased from the MarketPlace website (konicaminoltamarketplace.com): Announcement, bizhub Connector for Evernote, bizhub Connector for Finance, Clean Planet, Connect to Twitter, Connect to Weather, Express Connect, RSS Feeds, Scan Clerk, and Simple Copy.
</t>
    </r>
  </si>
  <si>
    <t xml:space="preserve">Square 9 </t>
  </si>
  <si>
    <t>Square 9 provides a range of document management solutions including cloud and premise based solutions that integrate directly with the MFPs to facilitate document routing storage and retrieval.</t>
  </si>
  <si>
    <t>www.square-9.com</t>
  </si>
  <si>
    <t>Model</t>
  </si>
  <si>
    <t>Item Number</t>
  </si>
  <si>
    <t>Suggested Retail</t>
  </si>
  <si>
    <t>Square 9 Business Essentials</t>
  </si>
  <si>
    <r>
      <t>SQUARE9 BUSINESS ESSENTIAL</t>
    </r>
    <r>
      <rPr>
        <vertAlign val="superscript"/>
        <sz val="10"/>
        <rFont val="Arial"/>
        <family val="2"/>
      </rPr>
      <t>1</t>
    </r>
  </si>
  <si>
    <t>12 S9S Professional Services</t>
  </si>
  <si>
    <t>Per Diem Remote Capture Services</t>
  </si>
  <si>
    <t>GBLCAPPROSRV002</t>
  </si>
  <si>
    <t>Per Diem On Site Services</t>
  </si>
  <si>
    <t>S9SPROSRV001</t>
  </si>
  <si>
    <t>Per Diem Remote Access Services</t>
  </si>
  <si>
    <t>S9SPROSRV002</t>
  </si>
  <si>
    <t>Four Hour Remote Access Service Block</t>
  </si>
  <si>
    <t>S9SPROSRV003</t>
  </si>
  <si>
    <t>Per Diem Custom Development Services</t>
  </si>
  <si>
    <t>S9SPROSRV004</t>
  </si>
  <si>
    <t>Per Diem Custom Development M&amp;S</t>
  </si>
  <si>
    <t>Per Diem Custom Development Services Maintenance &amp; Support</t>
  </si>
  <si>
    <t>S9SPROSRV004MS</t>
  </si>
  <si>
    <t>Custom SQL Scripting (4 hour Increments)</t>
  </si>
  <si>
    <t>S9SPROSRV006</t>
  </si>
  <si>
    <t>Per Diem 3rd Party Professional Services</t>
  </si>
  <si>
    <t>Per Diem Third Party Professional Services</t>
  </si>
  <si>
    <t>S9SPROSRV007</t>
  </si>
  <si>
    <t>Per Diem GlobalForms Services</t>
  </si>
  <si>
    <t>Per Diem GlobalForms Development Services</t>
  </si>
  <si>
    <t>S9SPROSRV008</t>
  </si>
  <si>
    <t>Per Diem Data Conversion Services</t>
  </si>
  <si>
    <t>S9SPROSRV009</t>
  </si>
  <si>
    <t>Project Based Data Conversion Services</t>
  </si>
  <si>
    <t>S9SPROSRV010</t>
  </si>
  <si>
    <t>SMARTSEARCH SOFTWARE ASSURANCE</t>
  </si>
  <si>
    <t>S9SSA001</t>
  </si>
  <si>
    <t>Maintenance and Support Renewal</t>
  </si>
  <si>
    <t>S9SSA002</t>
  </si>
  <si>
    <t>14 Competitive Software Replacement</t>
  </si>
  <si>
    <t>COMPETITIVE SOFTWARE REPLACEMENT</t>
  </si>
  <si>
    <t>S9SDISC003</t>
  </si>
  <si>
    <t>GlobalCapture Software</t>
  </si>
  <si>
    <t>GlobalSearch C2 Cloud Storage - Up to 25GB</t>
  </si>
  <si>
    <t>GBLC2STOR001</t>
  </si>
  <si>
    <t>GlobalSearch C2 Cloud Storage - Up to 100GB</t>
  </si>
  <si>
    <t>GBLC2STOR002</t>
  </si>
  <si>
    <t>GlobalSearch C2 Cloud Storage - Up to 250GB</t>
  </si>
  <si>
    <t>GBLC2STOR003</t>
  </si>
  <si>
    <t>GlobalSearch C2 Cloud Storage - Up to 500GB</t>
  </si>
  <si>
    <t>GBLC2STOR004</t>
  </si>
  <si>
    <t>GlobalSearch C2 Cloud Storage - Up to 1TB</t>
  </si>
  <si>
    <t>GBLC2STOR005</t>
  </si>
  <si>
    <t>GlobalForms 10 for C2 with Unlimited Forms and Capture BPM (Per Month, One Year Increments Required)</t>
  </si>
  <si>
    <t>GFC2SASRV001</t>
  </si>
  <si>
    <t>GlobalSearch C2 Cloud Enterprise Edition - per month concurrent user cost for 11-25 concurrent users</t>
  </si>
  <si>
    <t>GSC2ENTRP000</t>
  </si>
  <si>
    <t>GlobalSearch C2 Cloud Enterprise Edition - per month concurrent user cost for 26-50 concurrent users</t>
  </si>
  <si>
    <t>GSC2ENTRP001</t>
  </si>
  <si>
    <t>GlobalSearch C2 Cloud Enterprise Edition - per month concurrent user cost for 51-100 concurrent users</t>
  </si>
  <si>
    <t>GSC2ENTRP002</t>
  </si>
  <si>
    <t>GlobalSearch C2 Cloud Enterprise Edition - per month concurrent user cost for 101-250 concurrent users</t>
  </si>
  <si>
    <t>GSC2ENTRP003</t>
  </si>
  <si>
    <t>GlobalSearch C2 Cloud Enterprise Edition - per month concurrent user cost for 5-10 concurrent users</t>
  </si>
  <si>
    <t>GSC2ENTRP010</t>
  </si>
  <si>
    <t>Assembly Bound Lists Pack (Per Month, One Year Increments Required)</t>
  </si>
  <si>
    <t>GSC2GBLCAPABL001</t>
  </si>
  <si>
    <t>GlobalCapture User License - Single License (Per Month, One Year Increments Required)</t>
  </si>
  <si>
    <t>GSC2GBLCAPAIO001</t>
  </si>
  <si>
    <t>Imaging Processing Engine with positional OCR/BCR Core Upgrade (Per Month, One Year Increments Required)</t>
  </si>
  <si>
    <t>GSC2GBLCAPBDL001</t>
  </si>
  <si>
    <t>GlobalCapture BPM  (Per Month, One Year Increments Required)</t>
  </si>
  <si>
    <t>GSC2GBLCAPBPM001</t>
  </si>
  <si>
    <t>Document Classification Engine w/ Rapid Adapt Form Learning (Per Month, One Year Increments Required)</t>
  </si>
  <si>
    <t>GSC2GBLCAPCLAS001</t>
  </si>
  <si>
    <t>C2 GlobalCapture Toshiba Connector</t>
  </si>
  <si>
    <t>C2 GlobalCapture Toshiba eBridge Connector (Per Month, One Year Increments Required)</t>
  </si>
  <si>
    <t>GSC2GBLCAPEBRDG001</t>
  </si>
  <si>
    <t>Full Page OCR Engine Core Upgrade (Per Month, One Year Increments Required)</t>
  </si>
  <si>
    <t>GSC2GBLCAPFPO001</t>
  </si>
  <si>
    <t>GlobalCapture MFP Pack (Per Month, One Year Increments Required)</t>
  </si>
  <si>
    <t>GSC2GBLCAPMFP001</t>
  </si>
  <si>
    <t>GlobalCapture Server (Per Month, One Year Increments Required)</t>
  </si>
  <si>
    <t>GSC2GBLCAPPRO001</t>
  </si>
  <si>
    <t>Unstructured Data Extraction - Core Upgrade (Per Month, One Year Increments Required)</t>
  </si>
  <si>
    <t>GSC2GBLCAPREGEX001</t>
  </si>
  <si>
    <t>C2 GlobalCapture OKI sXP Connector</t>
  </si>
  <si>
    <t>C2 GlobalCapture OKI sXP Connector (Per Month, One Year Increments Required)</t>
  </si>
  <si>
    <t>GSC2GBLCAPSXP001</t>
  </si>
  <si>
    <t>Line Item Data Extraction - Core Engine (Per Month, One Year Increments Required)</t>
  </si>
  <si>
    <t>GSC2GBLCAPTBLEX001</t>
  </si>
  <si>
    <t xml:space="preserve">Image Xchange - per month per concurrent user </t>
  </si>
  <si>
    <t>GSC2IX001</t>
  </si>
  <si>
    <t xml:space="preserve">Image Xchange Enterprise - per month </t>
  </si>
  <si>
    <t>GSC2IX002</t>
  </si>
  <si>
    <t xml:space="preserve">GlobalSearch C2 Office Essentials Edition </t>
  </si>
  <si>
    <t>GlobalSearch C2 Office Essentials Edition - per month per concurrent user cost for 3-25 users.</t>
  </si>
  <si>
    <t>GSC2OFFICE001</t>
  </si>
  <si>
    <t xml:space="preserve">GlobalSearch C2 Workgroup Edition </t>
  </si>
  <si>
    <t>GlobalSearch C2 Workgroup Edition - per month concurrent user cost for 5-25 concurrent users</t>
  </si>
  <si>
    <t>GSC2WRKGRP001</t>
  </si>
  <si>
    <t>GlobalSearch C2 Workgroup Edition</t>
  </si>
  <si>
    <t>GlobalSearch C2 Workgroup Edition - per month concurrent user cost for 26-50 concurrent users</t>
  </si>
  <si>
    <t>GSC2WRKGRP002</t>
  </si>
  <si>
    <t>GLOBALSEARCHC2 ANNUALSUBSCRIPTIONRENEWAL</t>
  </si>
  <si>
    <t>GSC2REN001</t>
  </si>
  <si>
    <t>GlobalSearch C2 Implementation Fee - Includes standard 2 hour configuration</t>
  </si>
  <si>
    <t>GSC2IMPFEE001</t>
  </si>
  <si>
    <t>GlobalSearch C2 Professional Services - 4 hour service block - User Experience Design</t>
  </si>
  <si>
    <t>GSC2PROSRV001</t>
  </si>
  <si>
    <t>GlobalSearch C2 Workflow Services - 4 hour service block - Workflow Process Design</t>
  </si>
  <si>
    <t>GSC2WRKFLO001</t>
  </si>
  <si>
    <t>Custom SQL Scripting (4 hour Increments) Maintenance &amp; Support</t>
  </si>
  <si>
    <t>S9SPROSRV006MS</t>
  </si>
  <si>
    <t>Square9 Global Search Premise</t>
  </si>
  <si>
    <t>02 Square 9 Purchase to Pay Solutions Bundle</t>
  </si>
  <si>
    <t>Purchase to Pay Solution Bundle</t>
  </si>
  <si>
    <t>S9SP2P001</t>
  </si>
  <si>
    <t>Purchase to Pay Solution Bundle M&amp;S</t>
  </si>
  <si>
    <t>S9SP2P001MS</t>
  </si>
  <si>
    <t>03 Square 9 Hire to Retire Solutions Bundle</t>
  </si>
  <si>
    <t>Hire to Retire Solution Bundle</t>
  </si>
  <si>
    <t>S9SH2R001</t>
  </si>
  <si>
    <t>Hire to Retire Solution Bundle M&amp;S</t>
  </si>
  <si>
    <t>Hire to Retire Solution Bundle Maintenance &amp; Support</t>
  </si>
  <si>
    <t>S9SH2R001MS</t>
  </si>
  <si>
    <t>04 Professional Edition</t>
  </si>
  <si>
    <t>GlobalSearch Professional Edition License</t>
  </si>
  <si>
    <t>GlobalSearch Professional Edition License (Minimum of 3 for new configurations)</t>
  </si>
  <si>
    <t>GSPRO001</t>
  </si>
  <si>
    <t>GlobalSearch Professional Edition License (Minimum of 3 for new configurations) Maintenance &amp; Support</t>
  </si>
  <si>
    <t>GSPRO001MS</t>
  </si>
  <si>
    <t>05 Professional Edition Only Server Options</t>
  </si>
  <si>
    <t>Single Core Full Page OCR Engine</t>
  </si>
  <si>
    <t>GBLCAPFPO001</t>
  </si>
  <si>
    <t>Single Core Full Page OCR Engine M&amp;S</t>
  </si>
  <si>
    <t>Single Core Full Page OCR Engine Maintenance &amp; Support</t>
  </si>
  <si>
    <t>GBLCAPFPO001MS</t>
  </si>
  <si>
    <t>06 Corporate Edition</t>
  </si>
  <si>
    <t>SmartSearch Corporate Edition Server</t>
  </si>
  <si>
    <t>SmartSearch Corporate Edition Server License</t>
  </si>
  <si>
    <t>SSCORP001</t>
  </si>
  <si>
    <t>SmartSearch Corporate Edition Server M&amp;S</t>
  </si>
  <si>
    <t>SmartSearch Corporate Edition Server License Maintenance &amp; Support</t>
  </si>
  <si>
    <t>SSCORP001MS</t>
  </si>
  <si>
    <t>07 Options (Prof &amp; Corp Editions)</t>
  </si>
  <si>
    <t>Additional SmartSearch App Server (1)</t>
  </si>
  <si>
    <t>Additional SmartSearch Application Server - Single Instance</t>
  </si>
  <si>
    <t>APPSRV001</t>
  </si>
  <si>
    <t>Additional SmartSearch App Server (1)M&amp;S</t>
  </si>
  <si>
    <t>Additional SmartSearch Application Server - Single Instance Maintenance &amp; Support</t>
  </si>
  <si>
    <t>APPSRV001MS</t>
  </si>
  <si>
    <t>Capture Workflow Load Balance Utility</t>
  </si>
  <si>
    <t>CAPBAL001</t>
  </si>
  <si>
    <t>Capture Workflow Load Balance M&amp;S</t>
  </si>
  <si>
    <t>Capture Workflow Load Balance Utility Maintenance &amp; Support</t>
  </si>
  <si>
    <t>CAPBAL001MS</t>
  </si>
  <si>
    <t>GlobalCapture MFP Connector Pack</t>
  </si>
  <si>
    <t>GBLCAPMFP001</t>
  </si>
  <si>
    <t>GlobalCapture MFP Connector Pack Maintenance &amp; Support</t>
  </si>
  <si>
    <t>GBLCAPMFP001MS</t>
  </si>
  <si>
    <t>Image XChange - Enterprise License</t>
  </si>
  <si>
    <t>SSIMGXCHENT</t>
  </si>
  <si>
    <t>Image XChange - Enterprise License M&amp;S</t>
  </si>
  <si>
    <t>Image XChange - Enterprise License Maintenance &amp; Support</t>
  </si>
  <si>
    <t>SSIMGXCHENTMS</t>
  </si>
  <si>
    <t>08 GlobalSearch Web Options (Corp &amp; Prof Editions)</t>
  </si>
  <si>
    <t>GlobalSearch Web Edit Per Seat (1-50)</t>
  </si>
  <si>
    <t>GlobalSearch Web Edit License (1-50)</t>
  </si>
  <si>
    <t>GLOBALED001</t>
  </si>
  <si>
    <t>GlobalSearch Web Edit (1-50) M&amp;S</t>
  </si>
  <si>
    <t>GlobalSearch Web Edit License (1-50) Maintenance &amp; Support</t>
  </si>
  <si>
    <t>GLOBALED001MS</t>
  </si>
  <si>
    <t>GlobalSearch Read Only Per Seat (1-50)</t>
  </si>
  <si>
    <t>GlobalSearch Read Only License (1-50)</t>
  </si>
  <si>
    <t>GLOBALRO001</t>
  </si>
  <si>
    <t>GlobalSearch Read Only (1-50) M&amp;S</t>
  </si>
  <si>
    <t>GlobalSearch Read Only License (1-50) Maintenance &amp; Support</t>
  </si>
  <si>
    <t>GLOBALRO001MS</t>
  </si>
  <si>
    <t>10 QuickBooks Connections - (Corp &amp; Prof Editions)</t>
  </si>
  <si>
    <t>GlobalSearch Premise</t>
  </si>
  <si>
    <t>QuickLinks Maintenance &amp; Support</t>
  </si>
  <si>
    <t>S9QBC003MS</t>
  </si>
  <si>
    <r>
      <rPr>
        <vertAlign val="superscript"/>
        <sz val="10"/>
        <rFont val="Arial"/>
        <family val="2"/>
      </rPr>
      <t>1</t>
    </r>
    <r>
      <rPr>
        <sz val="10"/>
        <rFont val="Arial"/>
        <family val="2"/>
      </rPr>
      <t xml:space="preserve">*NEW* Square9 Global Search Premise Price page...MRz
</t>
    </r>
  </si>
  <si>
    <t>Square9_Global Capture Convey</t>
  </si>
  <si>
    <t>Convey All in One License - Single License Maintenance &amp; Support</t>
  </si>
  <si>
    <t>GBLCONVAIO001MS</t>
  </si>
  <si>
    <t>Software</t>
  </si>
  <si>
    <t>Convey All in One License - Single License</t>
  </si>
  <si>
    <t>GBLCONVAIO001</t>
  </si>
  <si>
    <t xml:space="preserve">RSA WebCRD </t>
  </si>
  <si>
    <t>(A) RSA Hardware &amp; Maintenance</t>
  </si>
  <si>
    <t>PREMIUM PRODUCTION TOWER SRVR</t>
  </si>
  <si>
    <t>Premium Production Rack Server</t>
  </si>
  <si>
    <r>
      <t>7640004740</t>
    </r>
    <r>
      <rPr>
        <vertAlign val="superscript"/>
        <sz val="10"/>
        <rFont val="Arial"/>
        <family val="2"/>
      </rPr>
      <t>2</t>
    </r>
  </si>
  <si>
    <t>PREMIUM PROD RACK SRVR: 1YR 1X5 MNT</t>
  </si>
  <si>
    <t>Premium Production Rack Server - 1x5 Premium Support</t>
  </si>
  <si>
    <t>7640004741</t>
  </si>
  <si>
    <t>PREMIUM PROD RACK SRVR: 1YR 3X7 MNT</t>
  </si>
  <si>
    <t>Premium Production Rack Server - 3x7 Platinum Support</t>
  </si>
  <si>
    <t>7640004742</t>
  </si>
  <si>
    <t>ENTERPRISE RACK SRVR</t>
  </si>
  <si>
    <t>Enterprise Rack Server</t>
  </si>
  <si>
    <r>
      <t>7640004743</t>
    </r>
    <r>
      <rPr>
        <vertAlign val="superscript"/>
        <sz val="10"/>
        <rFont val="Arial"/>
        <family val="2"/>
      </rPr>
      <t>3</t>
    </r>
  </si>
  <si>
    <t>ENTERPRISE RACK SRVR: 1YR 1X5 MNT</t>
  </si>
  <si>
    <t>Enterprise Rack Server - 1x5 Premium Support</t>
  </si>
  <si>
    <t>7640004744</t>
  </si>
  <si>
    <t>ENTERPRISE RACK SRVR: 1YR 3X7 MNT</t>
  </si>
  <si>
    <t>Enterprise Rack Server - 3x7 Platinum Support</t>
  </si>
  <si>
    <t>7640004745</t>
  </si>
  <si>
    <t>PREMIUM PRODUCTION Tower SRVR</t>
  </si>
  <si>
    <t>Premium Production Tower Server</t>
  </si>
  <si>
    <r>
      <t>7640005045</t>
    </r>
    <r>
      <rPr>
        <vertAlign val="superscript"/>
        <sz val="10"/>
        <rFont val="Arial"/>
        <family val="2"/>
      </rPr>
      <t>4</t>
    </r>
  </si>
  <si>
    <t>PREMIUM PROD TOWER SRVR: 1YR 1X5 MNT</t>
  </si>
  <si>
    <t>Premium Production Tower Server - 1x5 Premium Support</t>
  </si>
  <si>
    <t>7640005046</t>
  </si>
  <si>
    <t>PREMIUM PROD TOWER SRVR: 1YR 3X7 MNT</t>
  </si>
  <si>
    <t>Premium Production Tower Server - 3x7 Platinum Support</t>
  </si>
  <si>
    <t>7640005047</t>
  </si>
  <si>
    <t>(B) RSA Freight &amp; Handling</t>
  </si>
  <si>
    <t>FREIGHT &amp; HANDLING - US: (PER SRVR)</t>
  </si>
  <si>
    <t>Freight &amp; Handling - U.S. (Per Server)</t>
  </si>
  <si>
    <t>7640004718</t>
  </si>
  <si>
    <t>(C) RSA Main Software &amp; Maintenance</t>
  </si>
  <si>
    <t>WEBCRD ENTERPRISE SYSTEM LIC</t>
  </si>
  <si>
    <t>WebCRD Enterprise System License (WebCRD Pro, LDAP, QDirect)</t>
  </si>
  <si>
    <r>
      <t>7640004890</t>
    </r>
    <r>
      <rPr>
        <vertAlign val="superscript"/>
        <sz val="10"/>
        <rFont val="Arial"/>
        <family val="2"/>
      </rPr>
      <t>5</t>
    </r>
  </si>
  <si>
    <t>WEBCRD ENTERPRISE SYS LIC: 1YR 1X5 MNT</t>
  </si>
  <si>
    <t>WebCRD Enterprise System License - 1x5 Premium Support</t>
  </si>
  <si>
    <t>7640004891</t>
  </si>
  <si>
    <t>WEBCRD ENTERPRISE SYS LIC: 1YR 3X7 MNT</t>
  </si>
  <si>
    <t>WebCRD Enterprise System License - 3x7 Platinum Support</t>
  </si>
  <si>
    <t>7640004892</t>
  </si>
  <si>
    <t>WEBCRD BASE LIC</t>
  </si>
  <si>
    <t>WebCRD Base License</t>
  </si>
  <si>
    <r>
      <t>7640004893</t>
    </r>
    <r>
      <rPr>
        <vertAlign val="superscript"/>
        <sz val="10"/>
        <rFont val="Arial"/>
        <family val="2"/>
      </rPr>
      <t>6</t>
    </r>
  </si>
  <si>
    <t>WEBCRD BASE LIC: 1YR 1X5 MNT</t>
  </si>
  <si>
    <t>WebCRD Base License - 1x5 Premium Support</t>
  </si>
  <si>
    <t>7640004894</t>
  </si>
  <si>
    <t>WEBCRD BASE LIC: 1YR 3X7 MNT</t>
  </si>
  <si>
    <t>WebCRD Base License - 3x7 Platinum Support</t>
  </si>
  <si>
    <t>7640004895</t>
  </si>
  <si>
    <t>WEBCRD PRO (INCLUDES 2 PDEFS)</t>
  </si>
  <si>
    <t>WebCRD Pro (Includes 2 PDEFs)</t>
  </si>
  <si>
    <r>
      <t>7640004896</t>
    </r>
    <r>
      <rPr>
        <vertAlign val="superscript"/>
        <sz val="10"/>
        <rFont val="Arial"/>
        <family val="2"/>
      </rPr>
      <t>7</t>
    </r>
  </si>
  <si>
    <t>WEBCRD PRO: 1YR 1X5 MNT</t>
  </si>
  <si>
    <t>WebCRD Pro - 1x5 Premium Support</t>
  </si>
  <si>
    <t>7640004897</t>
  </si>
  <si>
    <t>WEBCRD PRO: 1YR 3X7 MNT</t>
  </si>
  <si>
    <t>WebCRD Pro - 3x7 Platinum Support</t>
  </si>
  <si>
    <t>7640004898</t>
  </si>
  <si>
    <t>UPGD WEBCRD BASE LIC 2 PRO LIC</t>
  </si>
  <si>
    <t>Upgrade from WebCRD Base License to WebCRD Pro License</t>
  </si>
  <si>
    <t>7640007625</t>
  </si>
  <si>
    <t>UPGD WEBCRD BASE LIC 2 PRO: 1YR 1X5 MNT</t>
  </si>
  <si>
    <t>Upgrade WebCRD Base License to WebCRD Pro - Annual 1x5 Maintenance</t>
  </si>
  <si>
    <t>7640007626</t>
  </si>
  <si>
    <t>UPGD WEBCRD BASE LIC 2 PRO: 1YR 3X7 MNT</t>
  </si>
  <si>
    <t>Upgrade WebCRD Base License to WebCRD Pro - Annual 3x7 Maintenance</t>
  </si>
  <si>
    <t>7640007627</t>
  </si>
  <si>
    <t>(D) RSA Software Options &amp; Maintenance</t>
  </si>
  <si>
    <t>WEBCRD ADDITIONAL PDEF (PER PRT DEF)</t>
  </si>
  <si>
    <t>WebCRD Additional PDEF (Per Printer Definition)</t>
  </si>
  <si>
    <t>7640004899</t>
  </si>
  <si>
    <t>WEBCRD ADDITIONAL PDEF: 1YR 1X5 MNT</t>
  </si>
  <si>
    <t>WebCRD Additional PDEF - 1x5 Premium Support</t>
  </si>
  <si>
    <t>7640004900</t>
  </si>
  <si>
    <t>WEBCRD ADDITIONAL PDEF: 1YR 3X7 MNT</t>
  </si>
  <si>
    <t>WebCRD Additional PDEF - 3x7 Platinum Support</t>
  </si>
  <si>
    <t>7640004901</t>
  </si>
  <si>
    <t>WEBCRD CENTRALPDF LIC: 1YR 1X5 MNT</t>
  </si>
  <si>
    <t>WebCRD CentralPDF License - 1x5 Premium Support</t>
  </si>
  <si>
    <t>7640004903</t>
  </si>
  <si>
    <t>WEBCRD CENTRALPDF LIC: 1YR 3X7 MNT</t>
  </si>
  <si>
    <t>WebCRD CentralPDF License - 3x7 Platinum Support</t>
  </si>
  <si>
    <t>7640004904</t>
  </si>
  <si>
    <t>WEBCRD SUREPDF LIC (UP TO 5 PRT CENTERS)</t>
  </si>
  <si>
    <t>WebCRD SurePDF License (Up to 5 Print Centers)</t>
  </si>
  <si>
    <t>7640004905</t>
  </si>
  <si>
    <t>WEBCRD SUREPDF LIC: 1YR 1X5 MNT</t>
  </si>
  <si>
    <t>WebCRD SurePDF License - 1x5 Premium Support</t>
  </si>
  <si>
    <t>7640004906</t>
  </si>
  <si>
    <t>WEBCRD SUREPDF LIC: 1YR 3X7 MNT</t>
  </si>
  <si>
    <t>WebCRD SurePDF License - 3x7 Platinum Support</t>
  </si>
  <si>
    <t>7640004907</t>
  </si>
  <si>
    <t xml:space="preserve">WEBCRD BASIC AUTH MODULE (LDAP)  </t>
  </si>
  <si>
    <t>WebCRD Basic Authentication Module (LDAP)</t>
  </si>
  <si>
    <t>7640004914</t>
  </si>
  <si>
    <t xml:space="preserve">WEBCRD BASIC AUTH MODULE ANNUAL 1X5 MNT  </t>
  </si>
  <si>
    <t>WebCRD Basic Authentication Module - Annual 1x5 Premium Support</t>
  </si>
  <si>
    <t>7640004915</t>
  </si>
  <si>
    <t xml:space="preserve">WEBCRD BASIC AUTH MODULE ANNUAL 3x7 MNT  </t>
  </si>
  <si>
    <t>WebCRD Basic Authentication Module - Annual 3x7 Platinum Support</t>
  </si>
  <si>
    <t>7640004916</t>
  </si>
  <si>
    <t>WEBCRD CREDIT CARD MODULE</t>
  </si>
  <si>
    <t>WebCRD Credit Card Module</t>
  </si>
  <si>
    <t>7640004917</t>
  </si>
  <si>
    <t>WEBCRD CREDIT CARD MODULE: 1YR 1X5 MNT</t>
  </si>
  <si>
    <t>WebCRD Credit Card Module - 1x5 Premium Support</t>
  </si>
  <si>
    <t>7640004918</t>
  </si>
  <si>
    <t>WEBCRD CREDIT CARD MODULE: 1YR 3X7 MNT</t>
  </si>
  <si>
    <t>WebCRD Credit Card Module - 3x7 Platinum Support</t>
  </si>
  <si>
    <t>7640004919</t>
  </si>
  <si>
    <t>WEBCRD ADDL SITE LIC (PER ADDL SITE)</t>
  </si>
  <si>
    <t>WebCRD Additional Site License (Per Additional Site)</t>
  </si>
  <si>
    <t>7640004923</t>
  </si>
  <si>
    <t>WEBCRD ADDL SITE LIC: 1YR 1X5 MNT</t>
  </si>
  <si>
    <t>WebCRD Additional Site License - 1x5 Premium Support</t>
  </si>
  <si>
    <t>7640004924</t>
  </si>
  <si>
    <t>WEBCRD ADDL SITE LIC: 1YR 3X7 MNT</t>
  </si>
  <si>
    <t>WebCRD Additional Site License - 3x7 Platinum Support</t>
  </si>
  <si>
    <t>7640004925</t>
  </si>
  <si>
    <t>WEBCRD AJCE (ADV JOB COST EST) MODULE</t>
  </si>
  <si>
    <t>WebCRD AJCE (Advanced Job Cost Estimating) Module</t>
  </si>
  <si>
    <t>7640004927</t>
  </si>
  <si>
    <t>WEBCRD AJCE MODULE: 1YR 1X5 MNT</t>
  </si>
  <si>
    <t>WebCRD AJCE Module - 1x5 Premium Support</t>
  </si>
  <si>
    <t>7640004928</t>
  </si>
  <si>
    <t>WEBCRD AJCE MODULE: 1YR 3X7 MNT</t>
  </si>
  <si>
    <t>WebCRD AJCE Module - 3x7 Platinum Support</t>
  </si>
  <si>
    <t>7640004929</t>
  </si>
  <si>
    <t>WEBCRD AUTOSTOCK MODULE</t>
  </si>
  <si>
    <t>WebCRD AutoStock Module (Requires AutoStock Implementation Fee)</t>
  </si>
  <si>
    <t>7640004930</t>
  </si>
  <si>
    <t>WEBCRD AUTOSTOCK MODULE: 1YR 1X5 MNT</t>
  </si>
  <si>
    <t>WebCRD AutoStock Module - 1x5 Premium Support</t>
  </si>
  <si>
    <t>7640004931</t>
  </si>
  <si>
    <t>WEBCRD AUTOSTOCK MODULE: 1YR 3X7 MNT</t>
  </si>
  <si>
    <t>WebCRD AutoStock Module - 3x7 Platinum Support</t>
  </si>
  <si>
    <t>7640004932</t>
  </si>
  <si>
    <t>WEBCRD ANALYTICS MODULE: 1YR 1X5 MNT</t>
  </si>
  <si>
    <t>WebCRD Analytics Module - 1x5 Premium Support</t>
  </si>
  <si>
    <t>7640004938</t>
  </si>
  <si>
    <t>WEBCRD ANALYTICS MODULE: 1YR 3X7 MNT</t>
  </si>
  <si>
    <t>WebCRD Analytics Module - 3x7 Platinum Support</t>
  </si>
  <si>
    <t>7640004939</t>
  </si>
  <si>
    <t>WEBCRD MULTILINGUAL MODULE</t>
  </si>
  <si>
    <t>WebCRD Multilingual Module</t>
  </si>
  <si>
    <t>7640004941</t>
  </si>
  <si>
    <t>WEBCRD MULTILING MODULE: 1YR 1X5 MNT</t>
  </si>
  <si>
    <t>WebCRD Multilingual Module - Annual 1x5 Maintenance</t>
  </si>
  <si>
    <t>7640004942</t>
  </si>
  <si>
    <t>WEBCRD MULTILING MODULE: 1YR 3X7 MNT</t>
  </si>
  <si>
    <t>WebCRD Multilingual Module - Annual 3x7 Maintenance</t>
  </si>
  <si>
    <t>7640004943</t>
  </si>
  <si>
    <t xml:space="preserve">WEBCRD BACKUP/DR/UAT LIC  </t>
  </si>
  <si>
    <t>WebCRD Backup, DR or UAT License (select one)</t>
  </si>
  <si>
    <t>7640004944</t>
  </si>
  <si>
    <t xml:space="preserve">WEBCRD BACKUP/DR/UAT LIC ANNUAL 1X5 MNT  </t>
  </si>
  <si>
    <t>WebCRD Backup, DR or UAT License - Annual 1x5 Premium Support</t>
  </si>
  <si>
    <t>7640004945</t>
  </si>
  <si>
    <t xml:space="preserve">WEBCRD BACKUP/DR/UAT LIC ANNUAL 3X7 MNT  </t>
  </si>
  <si>
    <t>WebCRD Backup, DR or UAT License - Annual 3x7 Platinum Support</t>
  </si>
  <si>
    <t>7640004946</t>
  </si>
  <si>
    <t>WEBCRD DYNAMICS MODULE</t>
  </si>
  <si>
    <t>WebCRD Dynamics Module (Requires Dynamics Implementation Fee)</t>
  </si>
  <si>
    <r>
      <t>7640005204</t>
    </r>
    <r>
      <rPr>
        <vertAlign val="superscript"/>
        <sz val="10"/>
        <rFont val="Arial"/>
        <family val="2"/>
      </rPr>
      <t>8</t>
    </r>
  </si>
  <si>
    <t>WEBCRD DYNAMICS MODULE: 1YR 1X5 MNT</t>
  </si>
  <si>
    <t>WebCRD Dynamics Module - 1x5 Premium Support</t>
  </si>
  <si>
    <t>7640005205</t>
  </si>
  <si>
    <t>WEBCRD DYNAMICS MODULE: 1YR 3X7 MNT</t>
  </si>
  <si>
    <t>WebCRD Dynamics Module - 3x7 Platinum Support</t>
  </si>
  <si>
    <t>7640005206</t>
  </si>
  <si>
    <t xml:space="preserve">WEBCRD SUREPDF CLIENT LICENSE ANNUAL FEE  </t>
  </si>
  <si>
    <t>WebCRD SurePDF Client License Annual Fee</t>
  </si>
  <si>
    <t>7640007628</t>
  </si>
  <si>
    <t>FUSION PRO DESIGNER LICENSES (5-PACK)</t>
  </si>
  <si>
    <t>Fusion Pro Designer Licenses (5-pack)</t>
  </si>
  <si>
    <t>7640008192</t>
  </si>
  <si>
    <t>FUSION PRO DESIGNER LIC: 1YR 1X5 MNT</t>
  </si>
  <si>
    <t>Fusion Pro Designer Licenses - Annual 1x5 Maintenance</t>
  </si>
  <si>
    <t>7640008193</t>
  </si>
  <si>
    <t>FUSION PRO DESIGNER LIC: 1YR 3X7 MNT</t>
  </si>
  <si>
    <t>Fusion Pro Designer Licenses - Annual 3x7 Maintenance</t>
  </si>
  <si>
    <t>7640008194</t>
  </si>
  <si>
    <t>WEBCRD OD PROD MODULE: ANNUAL FEE</t>
  </si>
  <si>
    <t>WebCRD OnDemand Production Module - Annual Fee</t>
  </si>
  <si>
    <t>7640017629</t>
  </si>
  <si>
    <t>WEBCRD OD DYN DT MODULE: ANNUAL FEE</t>
  </si>
  <si>
    <t>WebCRD OnDemand Dynamics Desktop Module - Annual Fee</t>
  </si>
  <si>
    <t>7640017630</t>
  </si>
  <si>
    <t>WEBCRD OD PRINT MIS PKG: ANNUAL FEE</t>
  </si>
  <si>
    <t>WebCRD OnDemand Print MIS Package - Annual Fee</t>
  </si>
  <si>
    <t>7640017631</t>
  </si>
  <si>
    <t xml:space="preserve">WEBCRD OD BOOK ASSY MODULE: ANNUAL FEE </t>
  </si>
  <si>
    <t xml:space="preserve">WebCRD OnDemand Book Assembly Module - Annual Fee </t>
  </si>
  <si>
    <t>7640017632</t>
  </si>
  <si>
    <t>WEBCRD OD ADD 100 GB STORAGE: ANNUAL FEE</t>
  </si>
  <si>
    <t>WebCRD OnDemand Additional 100 GB Storage (Each 100 GB) - Annual Fee</t>
  </si>
  <si>
    <t>7640017633</t>
  </si>
  <si>
    <t>WEBCRD OD ADD 1 CPU: ANNUAL FEE</t>
  </si>
  <si>
    <t>WebCRD OnDemand Additional 1 CPU (Each 1 CPU) - Annual Fee</t>
  </si>
  <si>
    <t>7640017634</t>
  </si>
  <si>
    <t>WEBCRD OD ADD 1 GB RAM: ANNUAL FEE</t>
  </si>
  <si>
    <t>WebCRD OnDemand Additional 1 GB RAM (Each 1 GB RAM) - Annual Fee</t>
  </si>
  <si>
    <t>7640017635</t>
  </si>
  <si>
    <t>VIRTUAL SERVER IMAGE</t>
  </si>
  <si>
    <t>Virtual Server Image</t>
  </si>
  <si>
    <r>
      <t>7640017640</t>
    </r>
    <r>
      <rPr>
        <vertAlign val="superscript"/>
        <sz val="10"/>
        <rFont val="Arial"/>
        <family val="2"/>
      </rPr>
      <t>9</t>
    </r>
  </si>
  <si>
    <t>VIRTUAL SERVER IMAGE: 1YR 1X5 MNT</t>
  </si>
  <si>
    <t>Virtual Server Image - Annual 1x5 Premium Support</t>
  </si>
  <si>
    <t>7640017641</t>
  </si>
  <si>
    <t>VIRTUAL SERVER IMAGE : 1YR 3X7 MNT</t>
  </si>
  <si>
    <t>Virtual Server Image - Annual 3x7 Platinum Support</t>
  </si>
  <si>
    <t>7640017642</t>
  </si>
  <si>
    <t>WEBCRD CTRLPDF OFFICE LIC (REQUIRES PC)</t>
  </si>
  <si>
    <t>WebCRD CentralPDF Office License (Requires PC for Conversion)</t>
  </si>
  <si>
    <t>7640017646</t>
  </si>
  <si>
    <t>WEBCRD CTRLPDF OFFICE LIC: 1YR 1X5 MNT</t>
  </si>
  <si>
    <t>WebCRD CentralPDF Office License - Annual 1x5 Premium Support</t>
  </si>
  <si>
    <t>7640017647</t>
  </si>
  <si>
    <t>WEBCRD CTRLPDF OFFICE LIC: 1YR 3X7 MNT</t>
  </si>
  <si>
    <t>WebCRD CentralPDF Office License - Annual 3x7 Platinum Support</t>
  </si>
  <si>
    <t>7640017648</t>
  </si>
  <si>
    <t>WEBCRD DYN DT: REQ PC &amp; FUSIONPRO DESKTP</t>
  </si>
  <si>
    <t>WebCRD Dynamics Desktop (Requires PC &amp; FusionPro Desktop)</t>
  </si>
  <si>
    <t>7640017650</t>
  </si>
  <si>
    <t>WEBCRD DYN DT MOD: 1YR 1X5 MNT</t>
  </si>
  <si>
    <t>WebCRD Dynamics Desktop Module - Annual 1x5 Premium Support</t>
  </si>
  <si>
    <t>7640017651</t>
  </si>
  <si>
    <t>WEBCRD DYN DT MOD: 1YR 3X7 MNT</t>
  </si>
  <si>
    <t>WebCRD Dynamics Desktop Module - Annual 3x7 Platinum Support</t>
  </si>
  <si>
    <t>7640017652</t>
  </si>
  <si>
    <t>FUSION PRO VDP CREATOR: 1 LIC</t>
  </si>
  <si>
    <t>FusionPro VDP Creator (Per License)</t>
  </si>
  <si>
    <t>7640017654</t>
  </si>
  <si>
    <t>FUSIONPRO VDP CREATOR: 1YR 1X5 MNT</t>
  </si>
  <si>
    <t>FusionPro VDP Creator - Annual 1x5 Premium Support</t>
  </si>
  <si>
    <t>7640017655</t>
  </si>
  <si>
    <t>FUSIONPRO VDP CREATOR: 1YR 3X7 MNT</t>
  </si>
  <si>
    <t>FusionPro VDP Creator - Annual 3x7 Platinum Support</t>
  </si>
  <si>
    <t>7640017656</t>
  </si>
  <si>
    <t>WEBCRD BOOK ASSEMBLY MODULE</t>
  </si>
  <si>
    <t>WebCRD Book Assembly Module</t>
  </si>
  <si>
    <t>7640017657</t>
  </si>
  <si>
    <t>WEBCRD BOOK ASSEMBLY MODULE: 1YR 1X5 MNT</t>
  </si>
  <si>
    <t>WebCRD Book Assembly Module - Annual 1x5 Premium Support</t>
  </si>
  <si>
    <t>7640017658</t>
  </si>
  <si>
    <t>WEBCRD BOOK ASSEMBLY MODULE: 1YR 3X7 MNT</t>
  </si>
  <si>
    <t>WebCRD Book Assembly Module - Annual 3x7 Platinum Support</t>
  </si>
  <si>
    <t>7640017659</t>
  </si>
  <si>
    <t>WEBCRD PRINT MIS PACKAGE</t>
  </si>
  <si>
    <t>WebCRD Print MIS Package</t>
  </si>
  <si>
    <t>7640017661</t>
  </si>
  <si>
    <t>WEBCRD PRINT MIS PACKAGE: 1YR 1X5 MNT</t>
  </si>
  <si>
    <t>WebCRD Print MIS Package - Annual 1x5 Premium Support</t>
  </si>
  <si>
    <t>7640017662</t>
  </si>
  <si>
    <t>WebCRD Print MIS Package - Annual 3x7 Platinum Support</t>
  </si>
  <si>
    <t>7640017663</t>
  </si>
  <si>
    <t xml:space="preserve">WEBCRD ADVANCED AUTHENTICATION MODULE  </t>
  </si>
  <si>
    <t>WebCRD Advanced Authentication Module (requires SOW)</t>
  </si>
  <si>
    <t>KMWCRD295</t>
  </si>
  <si>
    <t xml:space="preserve">WEBCRD ADV AUTH MOD ANNUAL 1X5 MNT  </t>
  </si>
  <si>
    <t>WebCRD Advanced Authentication Module - Annual 1x5 Premium Support</t>
  </si>
  <si>
    <t>KMWCRD2951</t>
  </si>
  <si>
    <t xml:space="preserve">WEBCRD ADV AUTH MOD ANNUAL 3X7 MNT  </t>
  </si>
  <si>
    <t>WebCRD Advanced Authentication Module - Annual 3x7 Platinum Support</t>
  </si>
  <si>
    <t>KMWCRD2954</t>
  </si>
  <si>
    <t>WEBCRD CXML INTERFACE</t>
  </si>
  <si>
    <t>WebCRD CXML Interface</t>
  </si>
  <si>
    <t>KMWCRD340</t>
  </si>
  <si>
    <t xml:space="preserve">WEBCRD CXML INTERFACE ANNUAL 1X5 MNT  </t>
  </si>
  <si>
    <t>WebCRD CXML Interface - Annual 1x5 Premium Support</t>
  </si>
  <si>
    <t>KMWCRD3401</t>
  </si>
  <si>
    <t xml:space="preserve">WEBCRD CXML INTERFACE ANNUAL 3X7 MNT  </t>
  </si>
  <si>
    <t>WebCRD CXML Interface - Annual 3x7 Platinum Support</t>
  </si>
  <si>
    <t>KMWCRD3404</t>
  </si>
  <si>
    <t>(E) RSA Professional Services &amp; Training</t>
  </si>
  <si>
    <t>PROFESSIONAL SERVICES (VARIABLE)</t>
  </si>
  <si>
    <t>Professional Services (Variable)</t>
  </si>
  <si>
    <t>7640004794</t>
  </si>
  <si>
    <t>PROF SVCS: ONSITE 1 DAY INC TVL TM &amp; EXP</t>
  </si>
  <si>
    <t>Professional Services - On-Site (1 Day including travel time &amp; expense)</t>
  </si>
  <si>
    <t>7640004795</t>
  </si>
  <si>
    <t>PROF SVCS ADDL DAY: ALREADY ON-SITE</t>
  </si>
  <si>
    <t>Professional Services - Additional Day, Already On-Site</t>
  </si>
  <si>
    <t>7640004796</t>
  </si>
  <si>
    <t>PROF SVCS DAILY RATE (OFF-SITE)</t>
  </si>
  <si>
    <t>Professional Services - Daily Rate (Off-Site)</t>
  </si>
  <si>
    <t>7640004797</t>
  </si>
  <si>
    <t>REMOTE CONFIGURATION - INSTALLATION FEESTAL &amp; TRAINING</t>
  </si>
  <si>
    <t>Remote Configuration and Installation Fee</t>
  </si>
  <si>
    <t>7640004798</t>
  </si>
  <si>
    <t>WEBCRD ADD SITE LIC-REMOTE INSTALL</t>
  </si>
  <si>
    <t xml:space="preserve">WebCRD Additional Site License - Remote Installation </t>
  </si>
  <si>
    <t>7640004926</t>
  </si>
  <si>
    <t>WEBCRD AUTOSTOCK IMPLEMENTATION FEE</t>
  </si>
  <si>
    <t>WebCRD AutoStock Implementation Fee</t>
  </si>
  <si>
    <t>7640004933</t>
  </si>
  <si>
    <t>WEBCRD BASE LICENSE: REMOTE INST &amp; TRNG</t>
  </si>
  <si>
    <t>WebCRD Base License - Remote Installation &amp; Training</t>
  </si>
  <si>
    <t>7640005048</t>
  </si>
  <si>
    <t>WEBCRD DYNAMICS DT MOD-REMOTE INSTALL</t>
  </si>
  <si>
    <t xml:space="preserve">WebCRD Dynamics Desktop Module - Remote Installation </t>
  </si>
  <si>
    <t>7640005207</t>
  </si>
  <si>
    <t>WEBCRD BASE - REMOTE INSTALLATION</t>
  </si>
  <si>
    <t>WebCRD Base - Remote Installation</t>
  </si>
  <si>
    <t>7640007621</t>
  </si>
  <si>
    <t>WEBCRD PRO - REMOTE INSTALLATION</t>
  </si>
  <si>
    <t>WebCRD Pro - Remote Installation</t>
  </si>
  <si>
    <t>7640007622</t>
  </si>
  <si>
    <t>UPGD WEBCRD BASE 2 PRO RMT INST&amp;TRNG FEE</t>
  </si>
  <si>
    <t>Upgrade from WebCRD Base to Pro - Remote Installation &amp; Training Fee</t>
  </si>
  <si>
    <t>7640007623</t>
  </si>
  <si>
    <t>WEBCRD: REINTEGRATION FEE</t>
  </si>
  <si>
    <t>WebCRD - Reintegration Fee</t>
  </si>
  <si>
    <t>7640007624</t>
  </si>
  <si>
    <t>WEBCRD SUREPDF CLIENT LIC IMPL FEE</t>
  </si>
  <si>
    <t>WebCRD SurePDF Client License - Implementation Fee</t>
  </si>
  <si>
    <t>7640007631</t>
  </si>
  <si>
    <t xml:space="preserve">WEBCRD BASIC AUTH MODULE IMPLEMENT FEE  </t>
  </si>
  <si>
    <t>WebCRD Basic Authentication Module - Implementation Fee</t>
  </si>
  <si>
    <t>7640007632</t>
  </si>
  <si>
    <t>WEBCRD CREDIT CARD MOD: IMPL FEE</t>
  </si>
  <si>
    <t>WebCRD Credit Card Module - Implementation Fee</t>
  </si>
  <si>
    <t>7640007633</t>
  </si>
  <si>
    <t>WEBCRD AJCE MOD: IMPL FEE</t>
  </si>
  <si>
    <t>WebCRD AJCE Module - Implementation Fee</t>
  </si>
  <si>
    <t>7640007634</t>
  </si>
  <si>
    <t>REMOTE IMPLEMENTATION FEE</t>
  </si>
  <si>
    <t>Remote Implementation Fee</t>
  </si>
  <si>
    <t>7640017643</t>
  </si>
  <si>
    <t>CUST-SPLD SVR SETUP W/1-WAY STD SHIPPING</t>
  </si>
  <si>
    <t>Customer-Supplied Server Setup (Includes one-way standard shipping)</t>
  </si>
  <si>
    <t>7640017644</t>
  </si>
  <si>
    <t>REMOTE ACCESS SURCHARGE (VARIABLE)</t>
  </si>
  <si>
    <t>Remote Access Surcharge (Variable)</t>
  </si>
  <si>
    <t>7640017645</t>
  </si>
  <si>
    <t>WEBCRD CTRLPDF OFFICE LIC: IMPLEMENT FEE</t>
  </si>
  <si>
    <t>WebCRD CentralPDF Office License - Implementation Fee</t>
  </si>
  <si>
    <t>7640017649</t>
  </si>
  <si>
    <t>WEBCRD DYN DT MOD: REM INST &amp; TRN FEE</t>
  </si>
  <si>
    <t>WebCRD Book Assembly Module - Implementation Fee</t>
  </si>
  <si>
    <t>7640017653</t>
  </si>
  <si>
    <t>WEBCRD BOOK ASSEMBLY MODULE: IMPLMNT FEE</t>
  </si>
  <si>
    <t>7640017660</t>
  </si>
  <si>
    <t>WEBCRD PRINT MIS PACKAGE: IMPLMNT FEE</t>
  </si>
  <si>
    <t>WebCRD Print MIS Package - Implementation Fee</t>
  </si>
  <si>
    <t>7640017664</t>
  </si>
  <si>
    <t>WEBCRD PRO ENTERPRISE- REMOTE INSTALL</t>
  </si>
  <si>
    <t xml:space="preserve">WebCRD Pro Enterprise - Remote Installation </t>
  </si>
  <si>
    <t>WCRD1109</t>
  </si>
  <si>
    <r>
      <rPr>
        <vertAlign val="superscript"/>
        <sz val="10"/>
        <rFont val="Arial"/>
        <family val="2"/>
      </rPr>
      <t>1</t>
    </r>
    <r>
      <rPr>
        <sz val="10"/>
        <rFont val="Arial"/>
        <family val="2"/>
      </rPr>
      <t>All RSA sales orders will require a Statement of Work, signed by RSA, the Dealer, Konica Minolta Representative, and the Customer.  The signed SOW must be submitted with the sales order to Konica Minolta Wholesale Dealer Support.&lt;br /&gt;All WebCRD Hardware, Hardware Options, Main Software, or Software Options require the purchase of the corresponding 1x5 OR 3x7 annual maintenance.</t>
    </r>
  </si>
  <si>
    <r>
      <rPr>
        <vertAlign val="superscript"/>
        <sz val="10"/>
        <rFont val="Arial"/>
        <family val="2"/>
      </rPr>
      <t>2</t>
    </r>
    <r>
      <rPr>
        <sz val="10"/>
        <rFont val="Arial"/>
        <family val="2"/>
      </rPr>
      <t>Each server requires the purchase of Freight &amp; Handling, Item 7640004718.</t>
    </r>
  </si>
  <si>
    <r>
      <rPr>
        <vertAlign val="superscript"/>
        <sz val="10"/>
        <rFont val="Arial"/>
        <family val="2"/>
      </rPr>
      <t>3</t>
    </r>
    <r>
      <rPr>
        <sz val="10"/>
        <rFont val="Arial"/>
        <family val="2"/>
      </rPr>
      <t>Each server requires the purchase of Freight &amp; Handling, Item 7640004718.</t>
    </r>
  </si>
  <si>
    <r>
      <rPr>
        <vertAlign val="superscript"/>
        <sz val="10"/>
        <rFont val="Arial"/>
        <family val="2"/>
      </rPr>
      <t>4</t>
    </r>
    <r>
      <rPr>
        <sz val="10"/>
        <rFont val="Arial"/>
        <family val="2"/>
      </rPr>
      <t>Each server requires the purchase of Freight &amp; Handling, Item 7640004718.</t>
    </r>
  </si>
  <si>
    <r>
      <rPr>
        <vertAlign val="superscript"/>
        <sz val="10"/>
        <rFont val="Arial"/>
        <family val="2"/>
      </rPr>
      <t>5</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</si>
  <si>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6</t>
    </r>
    <r>
      <rPr>
        <sz val="10"/>
        <rFont val="Arial"/>
        <family val="2"/>
      </rPr>
      <t>The WebCRD Base License, Item 7640004893 requires the purchase of WebCRD Base License - Remote Installation &amp; Training, Item 7640005048.</t>
    </r>
  </si>
  <si>
    <r>
      <rPr>
        <vertAlign val="superscript"/>
        <sz val="10"/>
        <rFont val="Arial"/>
        <family val="2"/>
      </rPr>
      <t>7</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</si>
  <si>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8</t>
    </r>
    <r>
      <rPr>
        <sz val="10"/>
        <rFont val="Arial"/>
        <family val="2"/>
      </rPr>
      <t>The WebCRD Dynamics requires the WebCRD Dynamics Implementation Fee, item 7640005207.</t>
    </r>
  </si>
  <si>
    <r>
      <rPr>
        <vertAlign val="superscript"/>
        <sz val="10"/>
        <rFont val="Arial"/>
        <family val="2"/>
      </rPr>
      <t>9</t>
    </r>
    <r>
      <rPr>
        <sz val="10"/>
        <rFont val="Arial"/>
        <family val="2"/>
      </rPr>
      <t>Please contact your RSA Business Development Manager for details on the Virtual Server Image.</t>
    </r>
  </si>
  <si>
    <t>AccurioPro Cloud Eye</t>
  </si>
  <si>
    <r>
      <t>ACCURIOPRO_CLOUD_EYE</t>
    </r>
    <r>
      <rPr>
        <vertAlign val="superscript"/>
        <sz val="10"/>
        <rFont val="Arial"/>
        <family val="2"/>
      </rPr>
      <t>1</t>
    </r>
  </si>
  <si>
    <t>Subscriptions</t>
  </si>
  <si>
    <t>ACCURIOPRO CLOUD EYE STANDARD LIC-1Y(5T)</t>
  </si>
  <si>
    <t>AccurioPro Cloud Eye standard license 1 year (includes 5 tracking)</t>
  </si>
  <si>
    <t>AACH0Y3</t>
  </si>
  <si>
    <t>ACCURIOPRO CLOUD EYE ADD TRACKING LIC-1Y</t>
  </si>
  <si>
    <t>AccurioPro Cloud Eye 1 additional tracking license 1 year</t>
  </si>
  <si>
    <t>AACH0Y4</t>
  </si>
  <si>
    <t>AccurioPro Conductor</t>
  </si>
  <si>
    <r>
      <t>AA2N0Y1</t>
    </r>
    <r>
      <rPr>
        <vertAlign val="superscript"/>
        <sz val="10"/>
        <rFont val="Arial"/>
        <family val="2"/>
      </rPr>
      <t>1</t>
    </r>
  </si>
  <si>
    <t>ACCURIOPRO CONDUCTOR ANNUAL SUPPORT</t>
  </si>
  <si>
    <t>AccurioPro Conductor Annual Support</t>
  </si>
  <si>
    <t>7640020160</t>
  </si>
  <si>
    <t>Upgrades</t>
  </si>
  <si>
    <t>ACCURIOPRO CONDUCTOR UPGRADE</t>
  </si>
  <si>
    <t>AccurioPro Conductor upgrade from PrintGroove POD Queue</t>
  </si>
  <si>
    <t>AA2N0Y3</t>
  </si>
  <si>
    <r>
      <rPr>
        <vertAlign val="superscript"/>
        <sz val="10"/>
        <rFont val="Arial"/>
        <family val="2"/>
      </rPr>
      <t>1</t>
    </r>
    <r>
      <rPr>
        <sz val="10"/>
        <rFont val="Arial"/>
        <family val="2"/>
      </rPr>
      <t>&lt;p&gt;&lt;font color="red"&gt;DELIVERY:&lt;/font&gt;&lt;br /&gt;A valid customer email address is mandatory for license - electronic delivery. &lt;/p&gt;&lt;p&gt;&lt;font color="red"&gt;NOTES:&lt;/font&gt;&lt;br /&gt;&lt;b&gt;A signed SOW is recommended.&lt;/b&gt;&lt;br /&gt;Recommend 2 - 3 days onsite site to install, configure and customer training by Dealer &lt;/p&gt;&lt;p&gt;&lt;b&gt;Software download&lt;/b&gt;&lt;br /&gt;You can download the latest software from MyKMBS;   &gt; Service&lt;br /&gt;        &gt; OneStop Product Support&lt;br /&gt;           &gt; Category: "Solutions"&lt;br /&gt;               &gt; Select a Product: AccurioPro Conductor&lt;br /&gt;&lt;/p&gt;&lt;p&gt;&lt;b&gt;Upgrade&lt;/b&gt;Upgrade from PrintGroove POD Queue requires upgrade (AA2N0Y3)  plus support (7640020160) and professional services by the Dealer &lt;/p&gt;&lt;p&gt;&lt;b&gt;KMBS Training for Install and Configuration&lt;/b&gt;&lt;br /&gt;Online AccurioPro Conductor Technical Overview available on MyKMBS learning. ONLINE TAPC_WBT - This course provides an overview of the AccurioPro Conductor User and Administrator Operations, including installation. Downloadable Guides available on training site:&lt;br /&gt;User Guide&lt;br /&gt;Administration User Guide&lt;br /&gt;Quick Install Guide&lt;br /&gt;&lt;p&gt;&lt;b&gt;Customer Support&lt;/b&gt;Tier 1 –Dealer &lt;br /&gt;Tier 2 – SSD will support trained Dealers (See Training above) &lt;br /&gt;&lt;/p&gt;&lt;p&gt;&lt;b&gt;The following information must be included on all orders:&lt;/b&gt;&lt;br /&gt;Company Name &lt;br /&gt;Company Address&lt;br /&gt;Primary contact &lt;br /&gt;Primary telephone number &lt;br /&gt;Primary email &lt;br /&gt;Secondary contact &lt;br /&gt;Secondary  telephone number &lt;br /&gt;Secondary email &lt;br /&gt;Sales Consultant Name &lt;br /&gt;Sales Consultant email &lt;br /&gt;&lt;/p&gt;</t>
    </r>
  </si>
  <si>
    <t>AccurioPro Connect 1 Year Maint Bundle</t>
  </si>
  <si>
    <r>
      <t>7640020710</t>
    </r>
    <r>
      <rPr>
        <vertAlign val="superscript"/>
        <sz val="10"/>
        <rFont val="Arial"/>
        <family val="2"/>
      </rPr>
      <t>1</t>
    </r>
  </si>
  <si>
    <t>AccurioPro Connect: Maintenance Reactivation Key</t>
  </si>
  <si>
    <t>7640020227</t>
  </si>
  <si>
    <t>AccurioPro Connect Software Maintenance (1 yr.)</t>
  </si>
  <si>
    <t>7640020228</t>
  </si>
  <si>
    <t>AccurioPro Connect Software Maintenance (3 yr.)</t>
  </si>
  <si>
    <t>7640020229</t>
  </si>
  <si>
    <t>AccurioPro Connect Software Maintenance (5 yr.)</t>
  </si>
  <si>
    <t>7640020230</t>
  </si>
  <si>
    <t>AccurioPro Connect Book Builder</t>
  </si>
  <si>
    <t>7640020231</t>
  </si>
  <si>
    <t>AccurioPro Connect Connectivity</t>
  </si>
  <si>
    <t>7640020232</t>
  </si>
  <si>
    <t>AccurioPro Connect Power Tools</t>
  </si>
  <si>
    <t>7640020233</t>
  </si>
  <si>
    <t>AccurioPro Connect Flux Connector</t>
  </si>
  <si>
    <t>7640020234</t>
  </si>
  <si>
    <t>AccurioPro Connect Upgrade</t>
  </si>
  <si>
    <t>7640020235</t>
  </si>
  <si>
    <t>AccurioPro Connect BookBuild Main. 1 yr.</t>
  </si>
  <si>
    <t>7640020236</t>
  </si>
  <si>
    <t>AccurioPro Connect BookBuild Main. 3 yr.</t>
  </si>
  <si>
    <t>7640020237</t>
  </si>
  <si>
    <t>AccurioPro Connect BookBuild Main. 5 yr.</t>
  </si>
  <si>
    <t>7640020238</t>
  </si>
  <si>
    <t>AccurioPro Connect Connectivity Main.1yr</t>
  </si>
  <si>
    <t>7640020239</t>
  </si>
  <si>
    <t>AccurioPro Connect Connectivity Main.3yr</t>
  </si>
  <si>
    <t>7640020240</t>
  </si>
  <si>
    <t>AccurioPro Connect Connectivity Main.5yr</t>
  </si>
  <si>
    <t>7640020241</t>
  </si>
  <si>
    <t>AccurioPro Connect Power Tools Main.1 yr</t>
  </si>
  <si>
    <t>7640020242</t>
  </si>
  <si>
    <t>AccurioPro Connect Power Tools Main.3 yr</t>
  </si>
  <si>
    <t>7640020243</t>
  </si>
  <si>
    <t>AccurioPro Connect Power Tools Main.5 yr</t>
  </si>
  <si>
    <t>7640020244</t>
  </si>
  <si>
    <t>AccurioPro Connect Flux Main.1 yr</t>
  </si>
  <si>
    <t>7640020245</t>
  </si>
  <si>
    <t>AccurioPro Connect Flux Main.3 yr</t>
  </si>
  <si>
    <t>7640020246</t>
  </si>
  <si>
    <t>AccurioPro Connect Flux Main.5 yr</t>
  </si>
  <si>
    <t>7640020247</t>
  </si>
  <si>
    <t>AccurioPro Connect Upgrade SW Maint.1 yr</t>
  </si>
  <si>
    <t>7640020248</t>
  </si>
  <si>
    <t>AccurioPro Connect Upgrade SW Maint.3 yr</t>
  </si>
  <si>
    <t>7640020249</t>
  </si>
  <si>
    <t>AccurioPro Connect Upgrade SW Maint.5 yr</t>
  </si>
  <si>
    <t>7640020250</t>
  </si>
  <si>
    <t>KMBS Basic Install and Training for APC</t>
  </si>
  <si>
    <t>7640020300</t>
  </si>
  <si>
    <t>KMBS Advanced Training for APC</t>
  </si>
  <si>
    <t>7640020301</t>
  </si>
  <si>
    <r>
      <rPr>
        <vertAlign val="superscript"/>
        <sz val="10"/>
        <rFont val="Arial"/>
        <family val="2"/>
      </rPr>
      <t>1</t>
    </r>
    <r>
      <rPr>
        <sz val="10"/>
        <rFont val="Arial"/>
        <family val="2"/>
      </rPr>
      <t xml:space="preserve">01/25/2019 Per Catherine Brill, Item #7640020710 replaced Item #7640020226.
</t>
    </r>
  </si>
  <si>
    <t>HP Mobile/ Security Solutions</t>
  </si>
  <si>
    <t>HP ROAM FOR BUSINESS, 1 Yr</t>
  </si>
  <si>
    <t>LICENSE FEE PER DEVICE</t>
  </si>
  <si>
    <t>4HH57AAE</t>
  </si>
  <si>
    <t>HP ROAM FOR BUSINESS, 3 Yr</t>
  </si>
  <si>
    <t>4HH58AAE</t>
  </si>
  <si>
    <t>HP ROAM FOR BUSINESS, 4 Yr</t>
  </si>
  <si>
    <t>4HH59AAE</t>
  </si>
  <si>
    <t>HP ROAM FOR BUSINESS, 5 Yr</t>
  </si>
  <si>
    <t>4HH60AAE</t>
  </si>
  <si>
    <t>PrintShop Mail 7  Version 7</t>
  </si>
  <si>
    <t>PRINTSHOP MAIL 7 STARTER</t>
  </si>
  <si>
    <t>PrintShop Mail 7 Starter (100,000 records)</t>
  </si>
  <si>
    <t>7640009493</t>
  </si>
  <si>
    <t>PRINTSHOP MAIL 7 PRODUCTION</t>
  </si>
  <si>
    <t>PrintShop Mail 7 Production (unlimited records)</t>
  </si>
  <si>
    <t>7640009497</t>
  </si>
  <si>
    <t>PSM 7 STARTER: 1YR MAINT</t>
  </si>
  <si>
    <t>PrintShop Mail 7 Starter: Annual Maintenance</t>
  </si>
  <si>
    <t>7640009494</t>
  </si>
  <si>
    <t>PSM 7 PRODUCTION: 1YR MAINT</t>
  </si>
  <si>
    <t>PrintShop Mail 7 Production: Annual Maintenance</t>
  </si>
  <si>
    <t>7640009498</t>
  </si>
  <si>
    <t>Main Software Maintenance Annual Renewal</t>
  </si>
  <si>
    <t>PSM 7 STARTER: 1YR MAINT RENEWAL</t>
  </si>
  <si>
    <t>PrintShop Mail 7 Starter: Annual Maintenance Renewal</t>
  </si>
  <si>
    <t>7640009495</t>
  </si>
  <si>
    <t>PSM 7 PRODUCTION: 1YR MAINT RENEWAL</t>
  </si>
  <si>
    <t>PrintShop Mail 7 Production: Annual Maintenance Renewal</t>
  </si>
  <si>
    <t>7640009499</t>
  </si>
  <si>
    <t>Main Software Maintenance Re-entry</t>
  </si>
  <si>
    <t>PSM 7 STARTER: 1YR MAINT RE-ENTRY</t>
  </si>
  <si>
    <t>PrintShop Mail 7 Starter: Annual Maintenance Re-Entry</t>
  </si>
  <si>
    <t>7640009496</t>
  </si>
  <si>
    <t>PSM 7 PRODUCTION: 1 YR MAINT RE-ENTRY</t>
  </si>
  <si>
    <t>PrintShop Mail 7 Production: Annual Maintenance Re-Entry</t>
  </si>
  <si>
    <t>7640009500</t>
  </si>
  <si>
    <t>Main Software Upgrades</t>
  </si>
  <si>
    <t>PRINTSHOP MAIL 7 STARTER TO PROD UPGRADE</t>
  </si>
  <si>
    <t>PrintShop Mail 7 Starter to PrintShop Mail 7 Production Upgrade</t>
  </si>
  <si>
    <t>7640009509</t>
  </si>
  <si>
    <t>PSM 7 STARTER TO PROD UPGD: 1YR MAINT</t>
  </si>
  <si>
    <t>PrintShop Mail 7 Starter to PrintShop Mail 7 Production Upgrade: Annual Maintenance</t>
  </si>
  <si>
    <t>7640009510</t>
  </si>
  <si>
    <t>PSM 7 ADDITIONAL 350K RECORDS</t>
  </si>
  <si>
    <t>PrintShop Mail 7 Additional 350,000 Records (PrintShop Mail 7 Starter only)</t>
  </si>
  <si>
    <t>7640009516</t>
  </si>
  <si>
    <r>
      <rPr>
        <vertAlign val="superscript"/>
        <sz val="10"/>
        <rFont val="Arial"/>
        <family val="2"/>
      </rPr>
      <t>1</t>
    </r>
    <r>
      <rPr>
        <sz val="10"/>
        <rFont val="Arial"/>
        <family val="2"/>
      </rPr>
      <t>Pricing and Specifications subject to change without notice. All PrintShop Mail products, including DirectSmile, must include the first year of mandatory maintenance. Maintenance Re-Entry is to resume annual maintenance when there was a lapse in coverage. Unlimited access to Print Shop Mail End-User Web Training via Objectif Lune's web-based training site is provided at no charge to end-customers with a current annual maintenance agreement in effect.</t>
    </r>
  </si>
  <si>
    <t>PlanetPress V7</t>
  </si>
  <si>
    <t>(A1) PlanetPress Software License</t>
  </si>
  <si>
    <t>PLANETPRESS 7 WATCH  1 LIC</t>
  </si>
  <si>
    <t>PlanetPress 7 Watch - 1 License</t>
  </si>
  <si>
    <t>7640007953</t>
  </si>
  <si>
    <t>PLANETPRESS 7 WATCH  2  LIC</t>
  </si>
  <si>
    <t>PlanetPress 7 Watch - 2  Licenses (per license)</t>
  </si>
  <si>
    <t>7640007954</t>
  </si>
  <si>
    <t>PLANETPRESS OFFICE 1 LIC</t>
  </si>
  <si>
    <t>PlanetPress Office - 1 License</t>
  </si>
  <si>
    <t>7640007955</t>
  </si>
  <si>
    <t>PLANETPRESS OFFICE 2  LIC</t>
  </si>
  <si>
    <t>PlanetPress Office -  2  Licenses (per license)</t>
  </si>
  <si>
    <t>7640007956</t>
  </si>
  <si>
    <t>PLANETPRESS PRODUCTION 1 LIC</t>
  </si>
  <si>
    <t>PlanetPress Production - 1 License</t>
  </si>
  <si>
    <t>7640007957</t>
  </si>
  <si>
    <t>PLANETPRESS PRODUCTION 2  LIC</t>
  </si>
  <si>
    <t>PlanetPress Production - 2  Licenses (per license)</t>
  </si>
  <si>
    <t>7640007958</t>
  </si>
  <si>
    <t>PLANETPRESS 7 IMAGING 1 LIC</t>
  </si>
  <si>
    <t>PlanetPress 7 Imaging - 1 License</t>
  </si>
  <si>
    <t>7640007959</t>
  </si>
  <si>
    <t>PLANETPRESS 7 IMAGING 2  LIC</t>
  </si>
  <si>
    <t>PlanetPress 7 Imaging - 2  Licenses (per license)</t>
  </si>
  <si>
    <t>7640007960</t>
  </si>
  <si>
    <t>PP WATCH DISASTER RECOVERY/DEV LICENSE</t>
  </si>
  <si>
    <t>PlanetPress Watch Disaster Recovery/Development License</t>
  </si>
  <si>
    <r>
      <t>7640016079</t>
    </r>
    <r>
      <rPr>
        <vertAlign val="superscript"/>
        <sz val="10"/>
        <rFont val="Arial"/>
        <family val="2"/>
      </rPr>
      <t>2</t>
    </r>
  </si>
  <si>
    <t>PP OFFICE DISASTER RECOVERY/DEV LICENSE</t>
  </si>
  <si>
    <t>PlanetPress Office Disaster Recovery/Development License</t>
  </si>
  <si>
    <r>
      <t>7640016080</t>
    </r>
    <r>
      <rPr>
        <vertAlign val="superscript"/>
        <sz val="10"/>
        <rFont val="Arial"/>
        <family val="2"/>
      </rPr>
      <t>3</t>
    </r>
  </si>
  <si>
    <t>PP PROD DISASTER RECOVERY/DEV LICENSE</t>
  </si>
  <si>
    <t>PlanetPress Production Disaster Recovery/Development License</t>
  </si>
  <si>
    <r>
      <t>7640016081</t>
    </r>
    <r>
      <rPr>
        <vertAlign val="superscript"/>
        <sz val="10"/>
        <rFont val="Arial"/>
        <family val="2"/>
      </rPr>
      <t>4</t>
    </r>
  </si>
  <si>
    <t>PP IMAGING DISASTER RECOVERY/DEV LICENSE</t>
  </si>
  <si>
    <t>PlanetPress Imaging Disaster Recovery/Development License</t>
  </si>
  <si>
    <r>
      <t>7640016082</t>
    </r>
    <r>
      <rPr>
        <vertAlign val="superscript"/>
        <sz val="10"/>
        <rFont val="Arial"/>
        <family val="2"/>
      </rPr>
      <t>5</t>
    </r>
  </si>
  <si>
    <t>(A2) PlanetPress Software License Maintenance (Mandatory)</t>
  </si>
  <si>
    <t>PP WATCH 1 LIC MAINT</t>
  </si>
  <si>
    <t>PlanetPress Watch - 1 License: Maintenance</t>
  </si>
  <si>
    <t>7640007967</t>
  </si>
  <si>
    <t>PP WATCH UPTO 2  LIC MAINT</t>
  </si>
  <si>
    <t>PlanetPress Watch - 2  Licenses: Maintenance (per license)</t>
  </si>
  <si>
    <t>7640007968</t>
  </si>
  <si>
    <t>PP OFFICE 1 LIC  MAINT</t>
  </si>
  <si>
    <t>PlanetPress Office - 1 License: Maintenance</t>
  </si>
  <si>
    <t>7640007969</t>
  </si>
  <si>
    <t>PP OFFICE 2  LIC  MAINT</t>
  </si>
  <si>
    <t>PlanetPress Office - 2  Licenses: Maintenance (per license)</t>
  </si>
  <si>
    <t>7640007970</t>
  </si>
  <si>
    <t>PP PRODUCTION 1 LIC  MAINT</t>
  </si>
  <si>
    <t>PlanetPress Production - 1 License: Maintenance</t>
  </si>
  <si>
    <t>7640007971</t>
  </si>
  <si>
    <t>PP PRODUCTION 2  LIC  MAINT</t>
  </si>
  <si>
    <t>PlanetPress Production - 2  Licenses: Maintenance (per license)</t>
  </si>
  <si>
    <t>7640007972</t>
  </si>
  <si>
    <t>PP IMAGING 1 LIC: MAINT</t>
  </si>
  <si>
    <t xml:space="preserve">PlanetPress Imaging - 1 License: Maintenance </t>
  </si>
  <si>
    <t>7640007973</t>
  </si>
  <si>
    <t xml:space="preserve">PP IMAGING 2  LIC: MAINT </t>
  </si>
  <si>
    <t>PlanetPress Imaging - 2  Licenses (per license): Maintenance</t>
  </si>
  <si>
    <t>7640007974</t>
  </si>
  <si>
    <t>(A3) PlanetPress Software License Maintenance Renewal</t>
  </si>
  <si>
    <t>PP WATCH 1 LIC MNT RENEW</t>
  </si>
  <si>
    <t>PlanetPress Watch - 1 License: Maintenance Renewal</t>
  </si>
  <si>
    <t>7640007981</t>
  </si>
  <si>
    <t>PP WATCH UPTO 2  LIC MNT RENEW</t>
  </si>
  <si>
    <t>PlanetPress Watch -  2  Licenses: Maintenance Renewal (per license)</t>
  </si>
  <si>
    <t>7640007982</t>
  </si>
  <si>
    <t>PP OFFC 1 LIC: MNT RENEW</t>
  </si>
  <si>
    <t>PlanetPress Office - 1 License: Maintenance Renewal</t>
  </si>
  <si>
    <t>7640007983</t>
  </si>
  <si>
    <t>PP OFFC 2  LIC: MNT RENEW</t>
  </si>
  <si>
    <t>PlanetPress Office -  2  Licenses: Maintenance Renewal (per license)</t>
  </si>
  <si>
    <t>7640007984</t>
  </si>
  <si>
    <t>PP PROD 1 LIC: MNT RENEW</t>
  </si>
  <si>
    <t>PlanetPress Production - 1 License: Maintenance Renewal</t>
  </si>
  <si>
    <t>7640007985</t>
  </si>
  <si>
    <t>PP PROD 2  LIC: MNT RENEW</t>
  </si>
  <si>
    <t>PlanetPress Production -  2  Licenses: Maintenance Renewal (per license)</t>
  </si>
  <si>
    <t>7640007986</t>
  </si>
  <si>
    <t>PP IMAGING 1 LIC: MNT RENEW</t>
  </si>
  <si>
    <t>PlanetPress Imaging - 1 License: Maintenance Renewal</t>
  </si>
  <si>
    <t>7640007987</t>
  </si>
  <si>
    <t>PP IMAGING 2  LIC: MNT RENEW</t>
  </si>
  <si>
    <t>PlanetPress Imaging - 2  Licenses (per license): Maintenance Renewal</t>
  </si>
  <si>
    <t>7640007988</t>
  </si>
  <si>
    <t>(A4) PlanetPress Software License Maintenance Re-Entry</t>
  </si>
  <si>
    <t>PP WATCH 1 LIC MNT RE-ENT</t>
  </si>
  <si>
    <t>PlanetPress Watch 1 License: Maintenance Re-entry</t>
  </si>
  <si>
    <t>7640007995</t>
  </si>
  <si>
    <t>PP WATCH UPTO 2  LIC MNT RE-ENT</t>
  </si>
  <si>
    <t>PlanetPress Watch 2  Licenses: Maintenance Re-entry (per license)</t>
  </si>
  <si>
    <t>7640007996</t>
  </si>
  <si>
    <t>PP OFFICE 1 LIC  MNT RE-ENT</t>
  </si>
  <si>
    <t>PlanetPress Office 1 License: Maintenance Re-entry</t>
  </si>
  <si>
    <t>7640007997</t>
  </si>
  <si>
    <t>PP OFFICE 2  LIC  MNT RE-ENT</t>
  </si>
  <si>
    <t>PlanetPress Office 2  Licenses: Maintenance Re-entry (per license)</t>
  </si>
  <si>
    <t>7640007998</t>
  </si>
  <si>
    <t>PP PROD 1 LIC  MNT RE-ENT</t>
  </si>
  <si>
    <t>PlanetPress Production 1 License: Maintenance Re-entry</t>
  </si>
  <si>
    <t>7640007999</t>
  </si>
  <si>
    <t>PP PROD 2  LIC  MNT RE-ENT</t>
  </si>
  <si>
    <t>PlanetPress Production 2  Licenses: Maintenance Re-entry (per license)</t>
  </si>
  <si>
    <t>7640008000</t>
  </si>
  <si>
    <t>PP IMAGING 1 LIC: MNT RE-ENT</t>
  </si>
  <si>
    <t>PlanetPress Imaging - 1 License: Maintenance Re-entry</t>
  </si>
  <si>
    <t>7640008001</t>
  </si>
  <si>
    <t>PP IMAGING 2  LIC: MNT RE-ENT</t>
  </si>
  <si>
    <t>PlanetPress Imaging - 2  Licenses (per license): Maintenance Re-entry</t>
  </si>
  <si>
    <t>7640008002</t>
  </si>
  <si>
    <t>(B1) PlanetPress Printer Licenses</t>
  </si>
  <si>
    <t xml:space="preserve">PP PR LIC UPGD: 1-50 TO 51-69 QTY 1 </t>
  </si>
  <si>
    <t>PlanetPress Printer Speed-Up License Upgrade: 1-50ppm to 51-69ppm (Cat 1 to Cat 2) Qty 1</t>
  </si>
  <si>
    <t>7640003039</t>
  </si>
  <si>
    <t>PP PRINTER 1-50 PPM 1 LIC</t>
  </si>
  <si>
    <t>PlanetPress printer license (1-50 ppm); 1 license</t>
  </si>
  <si>
    <t>7640004227</t>
  </si>
  <si>
    <t>PP PRINTER 1-50 PPM UPTO 5 LIC</t>
  </si>
  <si>
    <t>PlanetPress printer license (1-50 ppm); up to 5 licenses</t>
  </si>
  <si>
    <t>7640004228</t>
  </si>
  <si>
    <t>PP PRINTER 1-50 PPM UPTO 10 LIC</t>
  </si>
  <si>
    <t>PlanetPress printer license (1-50 ppm); up to 10 licenses</t>
  </si>
  <si>
    <t>7640004229</t>
  </si>
  <si>
    <t>PP PRINTER 1-50 PPM UPTO 11  LIC</t>
  </si>
  <si>
    <t>PlanetPress printer license (1-50 ppm); 11 or more licenses</t>
  </si>
  <si>
    <t>7640004230</t>
  </si>
  <si>
    <t>PP PRINTER 51-69 PPM 1 LIC</t>
  </si>
  <si>
    <t>PlanetPress printer license (51-69 ppm); 1 license</t>
  </si>
  <si>
    <t>7640004231</t>
  </si>
  <si>
    <t>PP PRINTER 51-69 PPM UPTO 5 LIC</t>
  </si>
  <si>
    <t>PlanetPress printer license (51-69 ppm); up to 5 licenses</t>
  </si>
  <si>
    <t>7640004232</t>
  </si>
  <si>
    <t>PP PRINTER 51-69 PPM UPTO 10 LIC</t>
  </si>
  <si>
    <t>PlanetPress printer license (51-69 ppm); up to 10 licenses</t>
  </si>
  <si>
    <t>7640004233</t>
  </si>
  <si>
    <t>PP PRINTER 51-69 PPM UPTO 11  LIC</t>
  </si>
  <si>
    <t>PlanetPress printer license (51-69 ppm); 11 or more licenses</t>
  </si>
  <si>
    <t>7640004234</t>
  </si>
  <si>
    <t>PP PRINTER 70-105 PPM 1 LIC</t>
  </si>
  <si>
    <t>PlanetPress printer license (70-105 ppm); 1 license</t>
  </si>
  <si>
    <t>7640004235</t>
  </si>
  <si>
    <t>PP PRINTER 70-105 PPM UPTO 5 LIC</t>
  </si>
  <si>
    <t>PlanetPress printer license (70-105 ppm); up to 5 licenses</t>
  </si>
  <si>
    <t>7640004236</t>
  </si>
  <si>
    <t>PP PRINTER 70-105 PPM UPTO 6  LIC</t>
  </si>
  <si>
    <t>PlanetPress printer license (70-105 ppm); 6 or more licenses</t>
  </si>
  <si>
    <t>7640004237</t>
  </si>
  <si>
    <t>PP PRINTER 106-179 PPM 1 LIC</t>
  </si>
  <si>
    <t>PlanetPress printer license (106-179 ppm); 1 license</t>
  </si>
  <si>
    <t>7640004238</t>
  </si>
  <si>
    <t>PP PRINTER 106-179 PPM UPTO 2  LIC</t>
  </si>
  <si>
    <t>PlanetPress printer license (106-179 ppm); up to 5 licenses</t>
  </si>
  <si>
    <t>7640004239</t>
  </si>
  <si>
    <t>PP PRINTER 180  PPM 1 LIC</t>
  </si>
  <si>
    <t>PlanetPress printer license (180  ppm); 1 license</t>
  </si>
  <si>
    <t>7640004240</t>
  </si>
  <si>
    <t>PP PRINTER 180  PPM UPTO 2  LIC</t>
  </si>
  <si>
    <t>PlanetPress printer license (180  ppm); 2 or more licenses</t>
  </si>
  <si>
    <t>7640004241</t>
  </si>
  <si>
    <t xml:space="preserve">PP PR LIC UPGD: 1-50 TO 70-105 QTY 1 </t>
  </si>
  <si>
    <t>PlanetPress Printer Speed-Up License Upgrade: 1-50ppm to 70-105ppm (Cat 1 to Cat 3) Qty 1</t>
  </si>
  <si>
    <t>7640004583</t>
  </si>
  <si>
    <t>PP PR LIC UPGD: 70-105 TO 179  QTY 1</t>
  </si>
  <si>
    <t>PlanetPress Printer Speed-Up License Upgrade: 70-105ppm to 179 ppm (Cat 3 to Cat 5) Qty 1</t>
  </si>
  <si>
    <t>7640005050</t>
  </si>
  <si>
    <t>PP PR LIC UPGD: 106-179 TO 179  QTY 1</t>
  </si>
  <si>
    <t>PlanetPress Printer Speed-Up License Upgrade: 106-179ppm to 179 ppm (Cat 4 to Cat 5) Qty 1</t>
  </si>
  <si>
    <t>7640006866</t>
  </si>
  <si>
    <t xml:space="preserve">PP PR LIC UPGD: 106-179 TO 179  QTY 2 </t>
  </si>
  <si>
    <t>PlanetPress Printer Speed-Up License Upgrade: 106-179ppm to 179 ppm (Cat 4 to Cat 5) Qty 2  per license</t>
  </si>
  <si>
    <t>7640006867</t>
  </si>
  <si>
    <t xml:space="preserve">PP PR LIC UPGD: 51-69 TO 106-179 QTY 1 </t>
  </si>
  <si>
    <t>PlanetPress Printer Speed-Up License Upgrade: 51-69ppm to 106-179ppm (Cat 2 to Cat 4) Qty 1</t>
  </si>
  <si>
    <t>7640009369</t>
  </si>
  <si>
    <t>PP PR LIC UPGD: 70-105 TO 106-179 QTY 1</t>
  </si>
  <si>
    <t>PlanetPress Printer Speed-Up License Upgrade: 70-105ppm to 106-179ppm (Cat 3 to Cat 4) Qty 1</t>
  </si>
  <si>
    <t>7640013080</t>
  </si>
  <si>
    <t xml:space="preserve">PP PR LIC UPGD: 70-105 TO 106-179 QTY 2 </t>
  </si>
  <si>
    <t>PlanetPress Printer Speed-Up License Upgrade: 70-105ppm to 106-179ppm (Cat 3 to Cat 4) Qty 2  per license</t>
  </si>
  <si>
    <t>7640013081</t>
  </si>
  <si>
    <t xml:space="preserve">PP PR LIC UPGD: 51-69 TO 70-105 QTY 1 </t>
  </si>
  <si>
    <t>PlanetPress Printer Speed-Up License Upgrade: 51-69ppm to 70-105ppm (Cat 2 to Cat 3) Qty 1</t>
  </si>
  <si>
    <t>7640013588</t>
  </si>
  <si>
    <t xml:space="preserve">PP PR LIC UPGD: 1-50 TO 51-69 QTY 2  </t>
  </si>
  <si>
    <t>PlanetPress Printer Speed-Up License Upgrade: 1-50ppm to 51-69ppm (Cat 1 to Cat 2) Qty 2  per license</t>
  </si>
  <si>
    <t>7640015840</t>
  </si>
  <si>
    <t xml:space="preserve">PP PR LIC UPGD: 1-50 TO 70-105 QTY 2  </t>
  </si>
  <si>
    <t>PlanetPress Printer Speed-Up License Upgrade: 1-50ppm to 70-105ppm (Cat 1 to Cat 3) Qty 2  per license</t>
  </si>
  <si>
    <t>7640015841</t>
  </si>
  <si>
    <t xml:space="preserve">PP PR LIC UPGD: 1-50 TO 106-179 QTY 1 </t>
  </si>
  <si>
    <t>PlanetPress Printer Speed-Up License Upgrade: 1-50ppm to 106-179ppm (Cat 1 to Cat 4) Qty 1</t>
  </si>
  <si>
    <t>7640015842</t>
  </si>
  <si>
    <t xml:space="preserve">PP PR LIC UPGD: 1-50 TO 106-179 QTY 2  </t>
  </si>
  <si>
    <t>PlanetPress Printer Speed-Up License Upgrade: 1-50ppm to 106-179ppm (Cat 1 to Cat 4) Qty 2  per license</t>
  </si>
  <si>
    <t>7640015843</t>
  </si>
  <si>
    <t xml:space="preserve">PP PR LIC UPGD: 51-69 TO 70-105 QTY 2  </t>
  </si>
  <si>
    <t>PlanetPress Printer Speed-Up License Upgrade: 51-69ppm to 70-105ppm (Cat 2 to Cat 3) Qty 2  per license</t>
  </si>
  <si>
    <t>7640015844</t>
  </si>
  <si>
    <t xml:space="preserve">PP PR LIC UPGD: 51-69 TO 106-179 QTY 2 </t>
  </si>
  <si>
    <t>PlanetPress Printer Speed-Up License Upgrade: 51-69ppm to 106-179ppm (Cat 2 to Cat 4) Qty 2  per license</t>
  </si>
  <si>
    <t>7640015845</t>
  </si>
  <si>
    <t>(B2) PlanetPress Printer License Maintenance (Mandatory)</t>
  </si>
  <si>
    <t>PP PRT 1-50 PPM 1 LIC MAINT</t>
  </si>
  <si>
    <t>PlanetPress printer license (1-50 ppm); 1 license, maintenance</t>
  </si>
  <si>
    <t>7640004315</t>
  </si>
  <si>
    <t>PP PRT 1-50 PPM UPTO 5 LIC MAINT</t>
  </si>
  <si>
    <t>PlanetPress printer license (1-50 ppm); up to 5 licenses, maintenance per license</t>
  </si>
  <si>
    <t>7640004316</t>
  </si>
  <si>
    <t>PP PRT 1-50 PPM UPTO 10 LIC MAINT</t>
  </si>
  <si>
    <t>PlanetPress printer license (1-50 ppm); up to 10 licenses, maintenance per license</t>
  </si>
  <si>
    <t>7640004317</t>
  </si>
  <si>
    <t>PP PRT 1-50 PPM UP TO 11  LIC MAINT</t>
  </si>
  <si>
    <t>PlanetPress printer license (1-50 ppm); 11 or more licenses, maintenance per license</t>
  </si>
  <si>
    <t>7640004318</t>
  </si>
  <si>
    <t>PP PRT 51-69 PPM 1 LIC MAINT</t>
  </si>
  <si>
    <t>PlanetPress printer license (51-69 ppm); 1 license, maintenance per license</t>
  </si>
  <si>
    <t>7640004319</t>
  </si>
  <si>
    <t>PP PRT 51-69 PPM 2-5 LIC MAINT</t>
  </si>
  <si>
    <t>PlanetPress printer license (51-69 ppm); up to 5 licenses, maintenance per license</t>
  </si>
  <si>
    <t>7640004320</t>
  </si>
  <si>
    <t>PP PRT 51-69 PPM UPTO 10 LIC MAINT</t>
  </si>
  <si>
    <t>PlanetPress printer license (51-69 ppm); up to 10 licenses, maintenance per license</t>
  </si>
  <si>
    <t>7640004321</t>
  </si>
  <si>
    <t>PP PRT 51-69 PPM UPTO 11  LIC MAINT</t>
  </si>
  <si>
    <t>PlanetPress printer license (51-69 ppm); 11 or more licenses, maintenance per license</t>
  </si>
  <si>
    <t>7640004322</t>
  </si>
  <si>
    <t>PP PRT 70-105 PPM 1 LIC MAINT</t>
  </si>
  <si>
    <t>PlanetPress printer license (70-105 ppm); 1 license, maintenance per license</t>
  </si>
  <si>
    <t>7640004323</t>
  </si>
  <si>
    <t>PP PRT 70-105 PPM UPTO 5 LIC MAINT</t>
  </si>
  <si>
    <t>PlanetPress printer license (70-105 ppm); up to 5 licenses, maintenance per license</t>
  </si>
  <si>
    <t>7640004324</t>
  </si>
  <si>
    <t>PP PRT 70-105 PPM UPTO 6  LIC MAINT</t>
  </si>
  <si>
    <t>PlanetPress printer license (70-105 ppm); 6 or more licenses, maintenance per license</t>
  </si>
  <si>
    <t>7640004325</t>
  </si>
  <si>
    <t>PP PRT 106-179 PPM 1 LIC MAINT</t>
  </si>
  <si>
    <t>PlanetPress printer license (106-179 ppm); 1 license, maintenance per license</t>
  </si>
  <si>
    <t>7640004326</t>
  </si>
  <si>
    <t>PP PRT 106-179 PPM UPTO 2  LIC MAINT REN</t>
  </si>
  <si>
    <t>PlanetPress printer license (106-179 ppm); up to 5 licenses, maintenance per license</t>
  </si>
  <si>
    <t>7640004327</t>
  </si>
  <si>
    <t>PP PRT 180  PPM 1 LIC MAINT</t>
  </si>
  <si>
    <t>PlanetPress printer license (180  ppm); 1 license, maintenance per license</t>
  </si>
  <si>
    <t>7640004328</t>
  </si>
  <si>
    <t>PP PRT 180  PPM UPTO 2  LIC MAINT</t>
  </si>
  <si>
    <t>PlanetPress printer license (180  ppm); 2 or more licenses, maintenance per license</t>
  </si>
  <si>
    <t>7640004329</t>
  </si>
  <si>
    <t>(B3) PlanetPress Printer License Maintenance Renewal</t>
  </si>
  <si>
    <t>PP PRT 1-50 PPM 1 LIC MNT RENEW</t>
  </si>
  <si>
    <t>PlanetPress printer license (1-50 ppm); 1 license, maintenance renewal</t>
  </si>
  <si>
    <t>7640004260</t>
  </si>
  <si>
    <t>PP PRT 1-50 PPM UPTO 5 LIC MNT RENEW</t>
  </si>
  <si>
    <t>PlanetPress printer license (1-50 ppm); up to 5 licenses, maintenance renewal per license</t>
  </si>
  <si>
    <t>7640004261</t>
  </si>
  <si>
    <t>PP PRT 1-50 PPM UPTO 10 LIC MNT RENEW</t>
  </si>
  <si>
    <t>PlanetPress printer license (1-50 ppm); up to 10 licenses, maintenance renewal per license</t>
  </si>
  <si>
    <t>7640004262</t>
  </si>
  <si>
    <t>PP PRT 1-50 PPM UP TO 11  LIC MNT RENEW</t>
  </si>
  <si>
    <t>PlanetPress printer license (1-50 ppm); 11 or more licenses, maintenance renewal per license</t>
  </si>
  <si>
    <t>7640004263</t>
  </si>
  <si>
    <t>PP PRT 51-69 PPM 1 LIC MNT RENEW</t>
  </si>
  <si>
    <t>PlanetPress printer license (51-69 ppm); 1 license, maintenance renewal per license</t>
  </si>
  <si>
    <t>7640004268</t>
  </si>
  <si>
    <t>PP PRT 51-69 PPM 2-5 LIC MNT RENEW</t>
  </si>
  <si>
    <t>PlanetPress printer license (51-69 ppm); up to 5 licenses, maintenance renewal per license</t>
  </si>
  <si>
    <t>7640004269</t>
  </si>
  <si>
    <t>PP PRT 51-69 PPM UPTO 10 LIC MNT RENEW</t>
  </si>
  <si>
    <t>PlanetPress printer license (51-69 ppm); up to 10 licenses, maintenance renewal per license</t>
  </si>
  <si>
    <t>7640004270</t>
  </si>
  <si>
    <t>PP PRT 70-105 PPM 1 LIC MNT RENEW</t>
  </si>
  <si>
    <t>PlanetPress printer license (70-105 ppm); up to 5 licenses, maintenance renewal per license</t>
  </si>
  <si>
    <t>7640004271</t>
  </si>
  <si>
    <t>PlanetPress printer license (70-105 ppm); 1 license, maintenance renewal per license</t>
  </si>
  <si>
    <t>7640004276</t>
  </si>
  <si>
    <t>PP PRT 70-105 PPM UPTO 5 LIC MNT RENEW</t>
  </si>
  <si>
    <t>7640004277</t>
  </si>
  <si>
    <t>PP PRT 70-105 PPM UPTO 6  LIC MNT RENEW</t>
  </si>
  <si>
    <t>PlanetPress printer license (70-105 ppm); 6 or more licenses, maintenance renewal per license</t>
  </si>
  <si>
    <t>7640004278</t>
  </si>
  <si>
    <t>PP PRT 106-179 PPM 1 LIC MNT RENEW</t>
  </si>
  <si>
    <t>PlanetPress printer license (106-179 ppm); 1 license, maintenance renewal per license</t>
  </si>
  <si>
    <t>7640004282</t>
  </si>
  <si>
    <t>PP PRT 106-179 PPM UPTO 2  LIC MNT REN</t>
  </si>
  <si>
    <t>PlanetPress printer license (106-179 ppm); up to 5 licenses, maintenance renewal per license</t>
  </si>
  <si>
    <t>7640004283</t>
  </si>
  <si>
    <t>PP PRT 180  PPM 1 LIC MNT RENEW</t>
  </si>
  <si>
    <t>PlanetPress printer license (180  ppm); 1 license, maintenance renewal per license</t>
  </si>
  <si>
    <t>7640004286</t>
  </si>
  <si>
    <t>PP PRT 180  PPM UPTO 2  LIC MNT RENEW</t>
  </si>
  <si>
    <t>PlanetPress printer license (180  ppm); 2 or more licenses, maintenance renewal per license</t>
  </si>
  <si>
    <t>7640004287</t>
  </si>
  <si>
    <t>(B4) PlanetPress Printer License Maintenance Re-Entry</t>
  </si>
  <si>
    <t>PP PRT 1-50 PPM 1 LIC MNT RE-ENT</t>
  </si>
  <si>
    <t>7640004264</t>
  </si>
  <si>
    <t>PP PRT 1-50 PPM UPTO 5 LIC MNT RE-ENT</t>
  </si>
  <si>
    <t>PlanetPress printer license (1-50 ppm); up to 5 licenses, maintenance re-entry per license</t>
  </si>
  <si>
    <t>7640004265</t>
  </si>
  <si>
    <t>PP PRT 1-50 PPM UPTO 10 LIC MNT RE-ENT</t>
  </si>
  <si>
    <t>PlanetPress printer license (1-50 ppm); up to 10 licenses, maintenance re-entry per license</t>
  </si>
  <si>
    <t>7640004266</t>
  </si>
  <si>
    <t>PP PRT 1-50 PPM UPTO 11  LIC MNT RE-ENT</t>
  </si>
  <si>
    <t>PlanetPress printer license (1-50 ppm); 11 or more licenses, maintenance re-entry per license</t>
  </si>
  <si>
    <t>7640004267</t>
  </si>
  <si>
    <t>PP PRT 51-69 PPM 1 LIC MNT RE-ENT</t>
  </si>
  <si>
    <t>PlanetPress printer license (51-69 ppm); 1 license, maintenance re-entry per license</t>
  </si>
  <si>
    <t>7640004272</t>
  </si>
  <si>
    <t>PP PRT 51-69 PPM UPTO 5 LIC MNT RE-ENT</t>
  </si>
  <si>
    <t>PlanetPress printer license (51-69 ppm); up to 5 licenses, maintenance re-entry per license</t>
  </si>
  <si>
    <t>7640004273</t>
  </si>
  <si>
    <t>PP PRT 51-69 PPM UPTO 10 LIC MNT RE-ENT</t>
  </si>
  <si>
    <t>PlanetPress printer license (51-69 ppm); up to 10 licenses, maintenance re-entry per license</t>
  </si>
  <si>
    <t>7640004274</t>
  </si>
  <si>
    <t>PP PRT 51-69 PPM UPTO 11  LIC MNT RE-ENT</t>
  </si>
  <si>
    <t>PlanetPress printer license (51-69 ppm); 11 or more licenses, maintenance re-entry per license</t>
  </si>
  <si>
    <t>7640004275</t>
  </si>
  <si>
    <t>PP PRT 70-105 PPM 1 LIC MNT RE-ENT</t>
  </si>
  <si>
    <t>PlanetPress printer license (70-105 ppm); 1 license, maintenance re-entry per license</t>
  </si>
  <si>
    <t>7640004279</t>
  </si>
  <si>
    <t>PP PRT 70-105 PPM UPTO 5 LIC MNT RE-ENT</t>
  </si>
  <si>
    <t>PlanetPress printer license (70-105 ppm); up to 5 licenses, maintenance re-entry per license</t>
  </si>
  <si>
    <t>7640004280</t>
  </si>
  <si>
    <t>PP PRT 70-105 PPM UPTO 6  LIC MNT RE-ENT</t>
  </si>
  <si>
    <t>PlanetPress printer license (70-105 ppm); 6 or more licenses, maintenance re-entry per license</t>
  </si>
  <si>
    <t>7640004281</t>
  </si>
  <si>
    <t>PP PRT 106-179 PPM 1 LIC MNT RE-ENT</t>
  </si>
  <si>
    <t>PlanetPress printer license (106-179 ppm); 1 license, maintenance re-entry per license</t>
  </si>
  <si>
    <t>7640004284</t>
  </si>
  <si>
    <t>PP PRT 106-179 PPM UPTO 2  LIC MNT RE-EN</t>
  </si>
  <si>
    <t>PlanetPress printer license (106-179 ppm); up to 5 licenses, maintenance re-entry per license</t>
  </si>
  <si>
    <t>7640004285</t>
  </si>
  <si>
    <t>PP PRT 180  PPM 1 LIC MNT RE-ENT</t>
  </si>
  <si>
    <t>PlanetPress printer license (180  ppm); 1 license, maintenance re-entry per license</t>
  </si>
  <si>
    <t>7640004288</t>
  </si>
  <si>
    <t>PP PRT 180  PPM UPTO 2  LIC MNT RE-ENT</t>
  </si>
  <si>
    <t>PlanetPress printer license (180  ppm); 2 or more licenses, maintenance re-entry per license</t>
  </si>
  <si>
    <t>7640004289</t>
  </si>
  <si>
    <t>(C1) PlanetPress Software Upgrade</t>
  </si>
  <si>
    <t>PP WATCH TO OFFICE UPGD 1 LIC</t>
  </si>
  <si>
    <t>Upgrade from PlanetPress Watch to PlanetPress Office - 1 License</t>
  </si>
  <si>
    <t>7640007961</t>
  </si>
  <si>
    <t>PP WATCH TO OFFICE UPGD 2  LIC</t>
  </si>
  <si>
    <t>Upgrade from PlanetPress Watch to PlanetPress Office - 2  Licenses (per license)</t>
  </si>
  <si>
    <t>7640007962</t>
  </si>
  <si>
    <t>PP WATCH TO PROD UPGD 1 LIC</t>
  </si>
  <si>
    <t>Upgrade from PlanetPress Watch to PlanetPress Production - 1 License</t>
  </si>
  <si>
    <t>7640007963</t>
  </si>
  <si>
    <t>PP WATCH TO PROD UPGD 2  LIC</t>
  </si>
  <si>
    <t>Upgrade from PlanetPress Watch to PlanetPress Production - 2  Licenses (per license)</t>
  </si>
  <si>
    <t>7640007964</t>
  </si>
  <si>
    <t>PP OFFICE TO PROD UPGD 1 LIC</t>
  </si>
  <si>
    <t>Upgrade from PlanetPress Office to PlanetPress Production - 1 License</t>
  </si>
  <si>
    <t>7640007965</t>
  </si>
  <si>
    <t>PP OFFICE TO PROD UPGD 2  LIC</t>
  </si>
  <si>
    <t>Upgrade from PlanetPress Office to PlanetPress Production - 2  Licenses (per license)</t>
  </si>
  <si>
    <t>7640007966</t>
  </si>
  <si>
    <t>(C2) PlanetPress Software Upgrade Maintenance (Mandatory)</t>
  </si>
  <si>
    <t>PP WATCH TO OFFICE UPGD 1 LIC: MAINT</t>
  </si>
  <si>
    <t>Upgrade from PlanetPress Watch to PlanetPress Office - 1 License: Maintenance</t>
  </si>
  <si>
    <t>7640007975</t>
  </si>
  <si>
    <t>PP WATCH TO OFFICE UPGD 2  LIC: MAINT</t>
  </si>
  <si>
    <t>Upgrade from PlanetPress Watch to PlanetPress Office - 2  Licenses (per license): Maintenance</t>
  </si>
  <si>
    <t>7640007976</t>
  </si>
  <si>
    <t>PP WATCH TO PROD UPGD 1 LIC: MAINT</t>
  </si>
  <si>
    <t>Upgrade from PlanetPress Watch to PlanetPress Production - 1 License: Maintenance</t>
  </si>
  <si>
    <t>7640007977</t>
  </si>
  <si>
    <t>PP WATCH TO PROD UPGD 2  LIC: MAINT</t>
  </si>
  <si>
    <t>Upgrade from PlanetPress Watch to PlanetPress Production - 2  Licenses (per license): Maintenance</t>
  </si>
  <si>
    <t>7640007978</t>
  </si>
  <si>
    <t>PP OFFICE TO PROD UPGD 1 LIC: MAINT</t>
  </si>
  <si>
    <t>Upgrade from PlanetPress Office to PlanetPress Production - 1 License: Maintenance</t>
  </si>
  <si>
    <t>7640007979</t>
  </si>
  <si>
    <t>PP OFFICE TO PROD UPGD 2  LIC: MAINT</t>
  </si>
  <si>
    <t>Upgrade from PlanetPress Office to PlanetPress Production - 2 Licenses (per license): Maintenance</t>
  </si>
  <si>
    <t>7640007980</t>
  </si>
  <si>
    <t>(C3) PlanetPress Software Upgrade Maintenance Renewal</t>
  </si>
  <si>
    <t>PP WATCH TO OFFC UPGD 1 LIC: MNT RENEW</t>
  </si>
  <si>
    <t>Upgrade from PlanetPress Watch to PlanetPress Office - 1 License: Maintenance Renewal</t>
  </si>
  <si>
    <t>7640007989</t>
  </si>
  <si>
    <t>PP WATCH TO OFFC UPGD 2  LIC: MNT RENEW</t>
  </si>
  <si>
    <t>Upgrade from PlanetPress Watch to PlanetPress Office - 2  Licenses (per license): Maintenance Renewal</t>
  </si>
  <si>
    <t>7640007990</t>
  </si>
  <si>
    <t>PP WATCH TO PROD UPGD 1 LIC: MNT RENEW</t>
  </si>
  <si>
    <t>Upgrade from PlanetPress Watch to PlanetPress Production - 1 License: Maintenance Renewal</t>
  </si>
  <si>
    <t>7640007991</t>
  </si>
  <si>
    <t>PP OFFC TO PROD UPGD 1 LIC: MNT RENEW</t>
  </si>
  <si>
    <t>Upgrade from PlanetPress Office to PlanetPress Production - 1 License: Maintenance Renewal</t>
  </si>
  <si>
    <t>7640007993</t>
  </si>
  <si>
    <t>PP OFFC TO PROD UPGD 2  LIC: MNT RENEW</t>
  </si>
  <si>
    <t>Upgrade from PlanetPress Office to PlanetPress Production - 2 Licenses (per license): Maintenance Renewal</t>
  </si>
  <si>
    <t>7640007994</t>
  </si>
  <si>
    <t>(C4) PlanetPress Software Upgrade Maintenance Re-Entry</t>
  </si>
  <si>
    <t>PP WATCH TO OFFC UPGD 1 LIC: MNT RE-ENT</t>
  </si>
  <si>
    <t>Upgrade from PlanetPress Watch to PlanetPress Office - 1 License: Maintenance Re-entry</t>
  </si>
  <si>
    <t>7640008003</t>
  </si>
  <si>
    <t>PP WATCH TO OFFC UPGD 2  LIC: MNT RE-ENT</t>
  </si>
  <si>
    <t>Upgrade from PlanetPress Watch to PlanetPress Office - 2  Licenses (per license): Maintenance Re-entry</t>
  </si>
  <si>
    <t>7640008004</t>
  </si>
  <si>
    <t>PP WATCH TO PROD UPGD 1 LIC: MNT RE-ENT</t>
  </si>
  <si>
    <t>Upgrade from PlanetPress Watch to PlanetPress Production - 1 License: Maintenance Re-entry</t>
  </si>
  <si>
    <t>7640008005</t>
  </si>
  <si>
    <t>PP WATCH TO PROD UPGD 2  LIC: MNT RE-ENT</t>
  </si>
  <si>
    <t>Upgrade from PlanetPress Watch to PlanetPress Production - 2  Licenses (per license): Maintenance Re-entry</t>
  </si>
  <si>
    <t>7640008006</t>
  </si>
  <si>
    <t>PP OFFC TO PROD UPGD 1 LIC: MNT RE-ENT</t>
  </si>
  <si>
    <t>Upgrade from PlanetPress Office to PlanetPress Production - 1 License: Maintenance Re-entry</t>
  </si>
  <si>
    <t>7640008007</t>
  </si>
  <si>
    <t>PP OFFC TO PROD UPGD 2  LIC: MNT RE-ENT</t>
  </si>
  <si>
    <t>Upgrade from PlanetPress Office to PlanetPress Production - 2 Licenses (per license): Maintenance Re-entry</t>
  </si>
  <si>
    <t>7640008008</t>
  </si>
  <si>
    <t>(D1) PlanetPress Physical Media</t>
  </si>
  <si>
    <t>PLANETPRESS SOFTWARE MEDIA</t>
  </si>
  <si>
    <t xml:space="preserve">PlanetPress Suite 7 Software Media </t>
  </si>
  <si>
    <r>
      <t>7640008009</t>
    </r>
    <r>
      <rPr>
        <vertAlign val="superscript"/>
        <sz val="10"/>
        <rFont val="Arial"/>
        <family val="2"/>
      </rPr>
      <t>6</t>
    </r>
  </si>
  <si>
    <t>(E1) PlanetPress Training</t>
  </si>
  <si>
    <t>PPS WEB-BASED END-USER TRAINING</t>
  </si>
  <si>
    <t>PlanetPress Suite Web-Based End-User Training</t>
  </si>
  <si>
    <r>
      <t>7640005082</t>
    </r>
    <r>
      <rPr>
        <vertAlign val="superscript"/>
        <sz val="10"/>
        <rFont val="Arial"/>
        <family val="2"/>
      </rPr>
      <t>7</t>
    </r>
  </si>
  <si>
    <t xml:space="preserve">PP DOCUMENT DESIGN AT OL (2 DAYS) </t>
  </si>
  <si>
    <t>PlanetPress Document Design at Objectif Lune: Per Student (2 days) - English</t>
  </si>
  <si>
    <t>7640008010</t>
  </si>
  <si>
    <t>PP DOCUMENT FLOW: AT OL  (2 DAYS)</t>
  </si>
  <si>
    <t>PlanetPress Document Flow at Objectif Lune: Per Student(2 days) - English</t>
  </si>
  <si>
    <t>7640008011</t>
  </si>
  <si>
    <t>PP SOLUTION DEV AT OL (4 DAYS)</t>
  </si>
  <si>
    <t>PlanetPress Solution Development at Objectif Lune: Per Student (4 days) - English</t>
  </si>
  <si>
    <t>7640008012</t>
  </si>
  <si>
    <t>PP CUSTOM TRAINING AT OL (PER DAY)</t>
  </si>
  <si>
    <t>PlanetPress Custom Training at Objectif Lune: Per Student (per day) - English</t>
  </si>
  <si>
    <t>7640008013</t>
  </si>
  <si>
    <t>PLANETPRESS TALK AT OL (PER DAY)</t>
  </si>
  <si>
    <t>PlanetPress Talk at Objectif Lune: Per Student (per day) - English</t>
  </si>
  <si>
    <t>7640008014</t>
  </si>
  <si>
    <t>PP DOCUMENT DESIGN ON-SITE (2 DAYS)</t>
  </si>
  <si>
    <t>PlanetPress Document Design On-Site (2 days with a maximum of 5 students) - English</t>
  </si>
  <si>
    <r>
      <t>7640008015</t>
    </r>
    <r>
      <rPr>
        <vertAlign val="superscript"/>
        <sz val="10"/>
        <rFont val="Arial"/>
        <family val="2"/>
      </rPr>
      <t>8</t>
    </r>
  </si>
  <si>
    <t>PP DOCUMENT FLOW ON-SITE (2 DAYS)</t>
  </si>
  <si>
    <t>PlanetPress Document Flow On-Site (2 days with a maximum of 5 students) - English</t>
  </si>
  <si>
    <r>
      <t>7640008016</t>
    </r>
    <r>
      <rPr>
        <vertAlign val="superscript"/>
        <sz val="10"/>
        <rFont val="Arial"/>
        <family val="2"/>
      </rPr>
      <t>9</t>
    </r>
  </si>
  <si>
    <t>PP SOLUTION DEV ON-SITE (4 DAYS)</t>
  </si>
  <si>
    <t>PlanetPress Solution Development On-Site (4 days with a maximum of 5 students) - English</t>
  </si>
  <si>
    <r>
      <t>7640008017</t>
    </r>
    <r>
      <rPr>
        <vertAlign val="superscript"/>
        <sz val="10"/>
        <rFont val="Arial"/>
        <family val="2"/>
      </rPr>
      <t>10</t>
    </r>
  </si>
  <si>
    <t>PP CUSTOM TRAINING ON-SITE (PER DAY)</t>
  </si>
  <si>
    <t>PlanetPress Custom Training On-Site (per day) - English</t>
  </si>
  <si>
    <r>
      <t>7640008018</t>
    </r>
    <r>
      <rPr>
        <vertAlign val="superscript"/>
        <sz val="10"/>
        <rFont val="Arial"/>
        <family val="2"/>
      </rPr>
      <t>11</t>
    </r>
  </si>
  <si>
    <t>PLANETPRESS TALK ON-SITE (PER DAY)</t>
  </si>
  <si>
    <t>PlanetPress Talk On-Site (per day with a maximum of 5 students) - English</t>
  </si>
  <si>
    <r>
      <t>7640008019</t>
    </r>
    <r>
      <rPr>
        <vertAlign val="superscript"/>
        <sz val="10"/>
        <rFont val="Arial"/>
        <family val="2"/>
      </rPr>
      <t>12</t>
    </r>
  </si>
  <si>
    <t>(H1) Objectif Lune Professional Services</t>
  </si>
  <si>
    <t>OBJECTIF LUNE - AIR FARE</t>
  </si>
  <si>
    <t>Objectif Lune - Air fare</t>
  </si>
  <si>
    <t>7640004310</t>
  </si>
  <si>
    <t>OBJECTIF LUNE ON-SITE SRVCS(ONE 8-HRDAY)</t>
  </si>
  <si>
    <t>Professional Services - on-site per day</t>
  </si>
  <si>
    <r>
      <t>7640001275</t>
    </r>
    <r>
      <rPr>
        <vertAlign val="superscript"/>
        <sz val="10"/>
        <rFont val="Arial"/>
        <family val="2"/>
      </rPr>
      <t>13</t>
    </r>
  </si>
  <si>
    <t>OBJECTIF LUNE CUSTM APPLICATN DEVELOPMNT</t>
  </si>
  <si>
    <t>Professional Services - at OL (Hourly)</t>
  </si>
  <si>
    <t>7640001519</t>
  </si>
  <si>
    <t>OL PRO SERVICES -PER DIEM</t>
  </si>
  <si>
    <t>Objectif Lune Professional Services -  Per Diem</t>
  </si>
  <si>
    <t>7640004304</t>
  </si>
  <si>
    <t>OL PROF SERVICES - HOURLY (MIN 4 HOURS)</t>
  </si>
  <si>
    <t>Professional Services - remote (Hourly, min 4hrs)</t>
  </si>
  <si>
    <t>7640008020</t>
  </si>
  <si>
    <r>
      <rPr>
        <vertAlign val="superscript"/>
        <sz val="10"/>
        <rFont val="Arial"/>
        <family val="2"/>
      </rPr>
      <t>1</t>
    </r>
    <r>
      <rPr>
        <sz val="10"/>
        <rFont val="Arial"/>
        <family val="2"/>
      </rPr>
      <t>To place an order for any item on this price sheet, please contact your Document Solutions Consultant or fax an order directly to Konica Minolta's ordering department based on your region. PlanetPress Office and Production include Watch. All PlanetPress orders must include the first year of mandatory maintenance for all software and printer licenses. Maintenance Renewal is for the subsequent year's maintenance. Maintenance Re-Entry is to resume maintenance when there is a lapse in coverage. Training in the form of web-based modules, classes in Montreal, or on-site is strongly recommended.  As of January 4, 2010, software maintenance now includes unlimited end-customer access to Objectif Lune's OL Learn eLearning portal AND access to all software updates and upgrades for customers with a current maintenance agreement in effect.</t>
    </r>
  </si>
  <si>
    <r>
      <rPr>
        <vertAlign val="superscript"/>
        <sz val="10"/>
        <rFont val="Arial"/>
        <family val="2"/>
      </rPr>
      <t>2</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</si>
  <si>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3</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</si>
  <si>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4</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</si>
  <si>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5</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</si>
  <si>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6</t>
    </r>
    <r>
      <rPr>
        <sz val="10"/>
        <rFont val="Arial"/>
        <family val="2"/>
      </rPr>
      <t xml:space="preserve">All PlanetPress software and licenses are e-mailed to the end-customer. PlanetPress Software Media (Item 7640008009) is available for customers who require a physical CD.  </t>
    </r>
  </si>
  <si>
    <r>
      <rPr>
        <vertAlign val="superscript"/>
        <sz val="10"/>
        <rFont val="Arial"/>
        <family val="2"/>
      </rPr>
      <t>7</t>
    </r>
    <r>
      <rPr>
        <sz val="10"/>
        <rFont val="Arial"/>
        <family val="2"/>
      </rPr>
      <t>PlanetPress Suite Web-Based Training (Item 7640005082) provides 1 student with access to Objectif Lune's learning site for 1 year for the version selected.  This is only required for customers WITHOUT a current maintenance agreement in effect.  As of January 4, 2010, software maintenance now includes unlimited end-customer access to Objectif Lune's OL Learn eLearning portal for customers with a current maintenance agreement in effect.</t>
    </r>
  </si>
  <si>
    <r>
      <rPr>
        <vertAlign val="superscript"/>
        <sz val="10"/>
        <rFont val="Arial"/>
        <family val="2"/>
      </rPr>
      <t>8</t>
    </r>
    <r>
      <rPr>
        <sz val="10"/>
        <rFont val="Arial"/>
        <family val="2"/>
      </rPr>
      <t>2-Day On-Site Document Design Training (Item 7640008015) requires the purchase of Per Diem (item# 7640004304, $335 x 2 = $670), and airfare at cost.</t>
    </r>
  </si>
  <si>
    <r>
      <rPr>
        <vertAlign val="superscript"/>
        <sz val="10"/>
        <rFont val="Arial"/>
        <family val="2"/>
      </rPr>
      <t>9</t>
    </r>
    <r>
      <rPr>
        <sz val="10"/>
        <rFont val="Arial"/>
        <family val="2"/>
      </rPr>
      <t>2-Day On-Site Document Flow Training (Item 7640008016) requires the purchase of Per Diem (item# 7640004304, $335 x 2 = $670), and airfare at cost.</t>
    </r>
  </si>
  <si>
    <r>
      <rPr>
        <vertAlign val="superscript"/>
        <sz val="10"/>
        <rFont val="Arial"/>
        <family val="2"/>
      </rPr>
      <t>10</t>
    </r>
    <r>
      <rPr>
        <sz val="10"/>
        <rFont val="Arial"/>
        <family val="2"/>
      </rPr>
      <t>4-Day On-Site Solution Development Training (Item 7640008017) requires the purchase of Per Diem (item# 7640004304, $335 x 4 = $1,340), and airfare at cost.</t>
    </r>
  </si>
  <si>
    <r>
      <rPr>
        <vertAlign val="superscript"/>
        <sz val="10"/>
        <rFont val="Arial"/>
        <family val="2"/>
      </rPr>
      <t>11</t>
    </r>
    <r>
      <rPr>
        <sz val="10"/>
        <rFont val="Arial"/>
        <family val="2"/>
      </rPr>
      <t>PlanetPress Custom On-Site Training (Item 7640008018) requires the purchase of Per Diem (7640004304, $335 x number of days), with a 2-day minumum and airfare at cost.  On-site services can be combined to reach the 2-day minimum.</t>
    </r>
  </si>
  <si>
    <r>
      <rPr>
        <vertAlign val="superscript"/>
        <sz val="10"/>
        <rFont val="Arial"/>
        <family val="2"/>
      </rPr>
      <t>12</t>
    </r>
    <r>
      <rPr>
        <sz val="10"/>
        <rFont val="Arial"/>
        <family val="2"/>
      </rPr>
      <t>PlanetPress Talk On-Site Training (Item 7640008019) requires the purchase of Per Diem (7640004304, $335 x number of days), with a 2-day minumum and airfare at cost.  On-site services can be combined to reach the 2-day minimum.</t>
    </r>
  </si>
  <si>
    <r>
      <rPr>
        <vertAlign val="superscript"/>
        <sz val="10"/>
        <rFont val="Arial"/>
        <family val="2"/>
      </rPr>
      <t>13</t>
    </r>
    <r>
      <rPr>
        <sz val="10"/>
        <rFont val="Arial"/>
        <family val="2"/>
      </rPr>
      <t>Objectif Lune One Site Services (Item 7640001275) requires the purchase of Per Diem (7640004304, $335 x number of days), with a 2-day minumum and airfare at cost.  On-site services can be combined to reach the 2-day minimum.</t>
    </r>
  </si>
  <si>
    <t>ENGAGEIT VARIABLE DATA EngageIT Variable Data</t>
  </si>
  <si>
    <t>Upgrade from EngageIT VDP Desk top to EngageIT VDP PRO (per quote)</t>
  </si>
  <si>
    <t>UPG ENGAGEIT VDP DESKTOP TO PRO(QUOTE)</t>
  </si>
  <si>
    <r>
      <t>KM210VDPTOPROUPG</t>
    </r>
    <r>
      <rPr>
        <vertAlign val="superscript"/>
        <sz val="10"/>
        <rFont val="Arial"/>
        <family val="2"/>
      </rPr>
      <t>2</t>
    </r>
  </si>
  <si>
    <t>Re-Entry Annual Support and  Upgrades for EngageIT VDP Pro</t>
  </si>
  <si>
    <t>REENTRY ANN MAINT ENGAGEIT VDP PRO</t>
  </si>
  <si>
    <t>KM525DMPROBBI</t>
  </si>
  <si>
    <t>Re-Entry Annual Support and  Upgrades for EngageIT VDP Desk Top</t>
  </si>
  <si>
    <t>REENTRY ANN MAINT ENGAGEIT VDP DESKTOP</t>
  </si>
  <si>
    <t>KM525DMVDPBBI</t>
  </si>
  <si>
    <t>PROFESSIONAL SERVICES</t>
  </si>
  <si>
    <t>Professional Service UnitsOne unit of professional services for project or development work</t>
  </si>
  <si>
    <r>
      <t>KM600SVPRJ</t>
    </r>
    <r>
      <rPr>
        <vertAlign val="superscript"/>
        <sz val="10"/>
        <rFont val="Arial"/>
        <family val="2"/>
      </rPr>
      <t>3</t>
    </r>
  </si>
  <si>
    <t>Training</t>
  </si>
  <si>
    <t>JOB SETUP WITH TRAINING ON JOB</t>
  </si>
  <si>
    <t>First VDP Job Setup Training PackagePrepare a single VDP job for user plus webinar training on that job only*</t>
  </si>
  <si>
    <t>KM700DMJSU</t>
  </si>
  <si>
    <t>VIDEO TRAINING</t>
  </si>
  <si>
    <t>Video Training, Self-train with Video Access</t>
  </si>
  <si>
    <t>KM700DMVID</t>
  </si>
  <si>
    <t>WEBINAR TRAINING</t>
  </si>
  <si>
    <t>Webinar Training PackageThis package includes hands-on, basic training. The training is Instructor-guided and is delivered typically in a single online session</t>
  </si>
  <si>
    <t>KM700DMWEB</t>
  </si>
  <si>
    <r>
      <rPr>
        <vertAlign val="superscript"/>
        <sz val="10"/>
        <rFont val="Arial"/>
        <family val="2"/>
      </rPr>
      <t>1</t>
    </r>
    <r>
      <rPr>
        <sz val="10"/>
        <rFont val="Arial"/>
        <family val="2"/>
      </rPr>
      <t>IMPORTANT NOTES ABOUT ENGAGEIT VARIABLE DATA All EngageIT Variable Data software components work directly with the Adobe AE InDesign AE application provide powerful Variable Data Printing features. EngageIT VDP Desktop is the special, low-cost solution for Variable Data Printing developed exclusively for Konica Minolta. The software is fully functional and is limited to PDF and PDF/VT output. EngageIT VDP PRO is the professional version of the software, which includes faster performance, a few extra "power user" features, and access to more print output formats, including PDF, PDF/VT, PostScript, and PPML. For a full comparison of the Desktop and PRO version features, please visit www.EngageITVDP.com/compare. SYSTEM REQUIREMENTS EngageIT VDP Desktop and PRO work with the Adobe InDesign application. The client must have a license to Adobe InDesign Creative Cloud 2014 (CC2014) or higher in order to use the software. Both Macintosh and Windows platforms are fully supported. INSTALLATION EngageIT VDP Desktop and EngageIT VDP PRO are customer-installed. There are no media shipped. The installers can be accessed online at www.EngageITVDP.com/installers. License codes are delivered via email. A valid customer email address is mandatory for each order. LICENSE TYPE All licenses for the EngageIT VDP Desktop or PRO are Perpetual, meaning that the license will not expire and does not need to be renewed. However, support for the product, if desired, must be renewed. SUPPORT Support is mandatory at the point of sale for both EngageIT VDP Desktop and EngageIT VDP Pro. One support is required for each license purchased. Software updates are included with support UPGRADING FROM DESKTOP TO PRO When upgrading from EngageIT VDP Desktop to EngageIT VDP PRO, support for EngageIT VDP PRO must be purchased. When the software is activated, the user will be allowed to select the version of Adobe InDesign they wish to use for the EngageIT VDP PRO software. John Kriho jkriho@meadowsps.com (847) 882-8202; Mike Clancy mclancy@meadowsps.com (847) 882-8202 SUPPORT RENEWAL Support is required only for the initial purchase. After the first year, support renewal is optional. Software support is provided only to those clients who maintain a current support plan. Each license owned by a client must have support.</t>
    </r>
  </si>
  <si>
    <t>Optional VBS Offerings</t>
  </si>
  <si>
    <t>Cost per hour less than 5 hours</t>
  </si>
  <si>
    <t>PSRV1-5</t>
  </si>
  <si>
    <t xml:space="preserve">Cost per hour 6-14 hours </t>
  </si>
  <si>
    <t>PSRV6-14</t>
  </si>
  <si>
    <t>Cost per hour 15+</t>
  </si>
  <si>
    <t>PSRV15</t>
  </si>
  <si>
    <t>EQUIPMENT MOVE</t>
  </si>
  <si>
    <t>Per Device</t>
  </si>
  <si>
    <t>EQUIPMV</t>
  </si>
  <si>
    <t>EQUIPMENT MOVE/INSTALL with STAIRCLIMBER</t>
  </si>
  <si>
    <t>EQUIPMVSTCL</t>
  </si>
  <si>
    <t>FS-542 Inner Finisher (50 Sheets)</t>
  </si>
  <si>
    <t>EK-608 LOCAL INTERFACE KIT</t>
  </si>
  <si>
    <t>EK-609 Local Interface Kit</t>
  </si>
  <si>
    <t>FK-514 Fax Kit (Supports 1st &amp; 2nd fax line -- no mount kit required)</t>
  </si>
  <si>
    <t>A884W11 &amp; A886WY1</t>
  </si>
  <si>
    <t>FK-515 Fax Kit &amp; MK-742 Mount Kit</t>
  </si>
  <si>
    <t>AAR4WY3 &amp; A87JWY5</t>
  </si>
  <si>
    <t>AAR4WYA</t>
  </si>
  <si>
    <t>FS-539SD Booklet Finisher (50 Sheets) plus manual stapler</t>
  </si>
  <si>
    <t>ADDCWY1</t>
  </si>
  <si>
    <t>ACDEWY2</t>
  </si>
  <si>
    <t>AEEXWY1</t>
  </si>
  <si>
    <t>IM-103 Intelligent Media Sensor</t>
  </si>
  <si>
    <t>A4NRWY3</t>
  </si>
  <si>
    <t>KH-102 Keyboard Holder</t>
  </si>
  <si>
    <t>LK-110 v2 i-Option License Kit (Enhanced Image Data)</t>
  </si>
  <si>
    <t xml:space="preserve">LU-302 Large Capacity Unit
</t>
  </si>
  <si>
    <t>MK-730 Mount Kit</t>
  </si>
  <si>
    <t>ACV0WY2</t>
  </si>
  <si>
    <t>AAV5WY7</t>
  </si>
  <si>
    <t>AAV5WY8</t>
  </si>
  <si>
    <t>AAV5019</t>
  </si>
  <si>
    <t>PC-417 PAPER FEED CABINET</t>
  </si>
  <si>
    <t>PK-524 2-3 hole punch kit for FS-539/FS-539SD</t>
  </si>
  <si>
    <t>ADDDW11</t>
  </si>
  <si>
    <t>PK-527 PUNCH KIT - FOR FS-542 2/3 Holes</t>
  </si>
  <si>
    <t>SC-509 SECURITY KIT</t>
  </si>
  <si>
    <t xml:space="preserve">UK-221 UPGRADE KIT </t>
  </si>
  <si>
    <t>A0W4WY4</t>
  </si>
  <si>
    <t>CONNECTOR FOR KNO2 (SHARE PHI APP) PER MFP</t>
  </si>
  <si>
    <t>A879012</t>
  </si>
  <si>
    <t>Fax Kit FK-513</t>
  </si>
  <si>
    <t>A2YUWY2X001</t>
  </si>
  <si>
    <t>FS-533 + MK-602 Inner Finisher + Mount Kit</t>
  </si>
  <si>
    <t>A3EPWYE</t>
  </si>
  <si>
    <t>FS-534 and SD 511 50-Sheet Stapling Finisher Saddle Stitcher Kit</t>
  </si>
  <si>
    <t>A3EPWYEX001</t>
  </si>
  <si>
    <t>FS-534 and SD 511 plus RU-514 bundle</t>
  </si>
  <si>
    <t>A3EPWY3X001</t>
  </si>
  <si>
    <t>FS-534 plus RU-514 bundle Finisher</t>
  </si>
  <si>
    <t>A64TWY4</t>
  </si>
  <si>
    <t>KP-101 Keypad</t>
  </si>
  <si>
    <t>LK-110 v2 i-Option</t>
  </si>
  <si>
    <t>A84FWY1</t>
  </si>
  <si>
    <t>Mount Kit for FS-533</t>
  </si>
  <si>
    <t>A7VAWY7</t>
  </si>
  <si>
    <t xml:space="preserve">PC-113 PAPER FEED CABINET_x000D_
</t>
  </si>
  <si>
    <t>A7VAWY8</t>
  </si>
  <si>
    <t xml:space="preserve">PC-213 PAPER FEED CABINET_x000D_
</t>
  </si>
  <si>
    <t>PC-413 Paper Feed Cabinet</t>
  </si>
  <si>
    <t>PK-520 2/3 Hole Punch Unit (FS-534 or FS-536)</t>
  </si>
  <si>
    <t>A84GWY2</t>
  </si>
  <si>
    <t>RU-514 RELAY UNIT</t>
  </si>
  <si>
    <t>A87EWY4</t>
  </si>
  <si>
    <t>UK-212 Wireless Kit (Provides Wireless LAN)</t>
  </si>
  <si>
    <t>Working Table WT-506</t>
  </si>
  <si>
    <t>A3EPWY3 &amp; A84GWY2</t>
  </si>
  <si>
    <t>FS-534 50-Sheet Stapling Finisher &amp; Relay Unit</t>
  </si>
  <si>
    <t>FS-P04 Offline Stapler</t>
  </si>
  <si>
    <t xml:space="preserve">LU-207 Large Capacity Unit
</t>
  </si>
  <si>
    <t>PI-507 POST INSERTER</t>
  </si>
  <si>
    <t>ZU-609 Z Folding Unit For FS-537/FS-540</t>
  </si>
  <si>
    <t>AAR4WYA &amp; A87JWY5</t>
  </si>
  <si>
    <t>AAR5WY1 &amp; A87JWY5</t>
  </si>
  <si>
    <t>AAR5WYA &amp; A87JWY5</t>
  </si>
  <si>
    <t>FS-540 100-Sheet Staple Finisher &amp; Relay Unit</t>
  </si>
  <si>
    <t>FS-540 SD 100-Sheet Booklet Finisher &amp; Relay Unit</t>
  </si>
  <si>
    <t>FS-542 Inner Finisher</t>
  </si>
  <si>
    <t xml:space="preserve">FS-539 &amp; RU-513 Finisher (50 Sheets) plus manual stapler </t>
  </si>
  <si>
    <t>FS-539SD &amp; RU-513 Booklet Finisher (50 Sheets) plus manual stapler</t>
  </si>
  <si>
    <t>EK-608 Local Interface Kit</t>
  </si>
  <si>
    <t>FS-P04 OFFLINE STAPLER</t>
  </si>
  <si>
    <t xml:space="preserve">LU-207 Large Capacity Unit (2,500 sheets/Letter, Legal, Ledger and 12"x18")_x000D_
</t>
  </si>
  <si>
    <t>PK-527 Punch Kit - for FS-542 2/3 Holes</t>
  </si>
  <si>
    <t>UK-221 Upgrade Kit</t>
  </si>
  <si>
    <t>EFI HOT FOLDERS &amp; VIRTUAL S/W LICENSE</t>
  </si>
  <si>
    <t>FIERY COMPOSE S/W LICENSE</t>
  </si>
  <si>
    <t>IC-420 FIERY CONTROLLER</t>
  </si>
  <si>
    <t>45202146</t>
  </si>
  <si>
    <t>kit, option, ES-3000, Hardware ONLY</t>
  </si>
  <si>
    <t xml:space="preserve">FS-539 &amp; RU-519 Finisher (50 Sheets) plus manual stapler </t>
  </si>
  <si>
    <t>AAR4WYA &amp; ACU6WY1</t>
  </si>
  <si>
    <t>FS-539SD &amp; RU-519 Booklet Finisher (50 Sheets) plus manual stapler</t>
  </si>
  <si>
    <t>FS-540 100-Sheet Staple Finisher &amp; RU-519 Relay Unit</t>
  </si>
  <si>
    <t>FS-540 SD 100-Sheet Booklet Finisher &amp; RU-519 Relay Unit</t>
  </si>
  <si>
    <t xml:space="preserve">LU-205 Large Capacity Unit 
</t>
  </si>
  <si>
    <t xml:space="preserve">LU-303 Large Capacity Unit
</t>
  </si>
  <si>
    <t>EK-610 Local Interface Kit</t>
  </si>
  <si>
    <t>AAR4WY3 &amp; A87KWY1</t>
  </si>
  <si>
    <t>FS-539 Finisher &amp; RU-515 Relay Unit</t>
  </si>
  <si>
    <t>AAR4WYA &amp; A87KWY1</t>
  </si>
  <si>
    <t>FS-539 SD Booklet Finisher (50 Sheets) plus manual stapler &amp; RU-515 Relay Unit</t>
  </si>
  <si>
    <t>FS-540 100-SHEET STAPLE FINISHER &amp; RU-515 Relay Unit</t>
  </si>
  <si>
    <t>FS-540 SD 100-SHEET BOOKLET FINISHER &amp; RU-515 Relay Unit</t>
  </si>
  <si>
    <t>KEY COUNTER MOUNT KIT 1</t>
  </si>
  <si>
    <t>KP-102 KEYPAD</t>
  </si>
  <si>
    <t>LK-116 BITDEFENDER VIRUS SCAN</t>
  </si>
  <si>
    <t>SC-509 SECURITY KIT</t>
  </si>
  <si>
    <t xml:space="preserve">UK-221 Upgrade Kit </t>
  </si>
  <si>
    <t>USB Host Board (Local Interface Kit)  with Bluetooth Printing Support</t>
  </si>
  <si>
    <t>WT-519 Upright Working Table</t>
  </si>
  <si>
    <t>AAR5WYA &amp; A87KWY1</t>
  </si>
  <si>
    <t>AAR5WY1 &amp; A87KWY1</t>
  </si>
  <si>
    <t xml:space="preserve">CS-2 Convenience Stapler (50-sheet capacity/offline) </t>
  </si>
  <si>
    <t>KONI66002BW</t>
  </si>
  <si>
    <t>LR5402BW CUST TOWER LIGHT ASSEMB w/ADPTR</t>
  </si>
  <si>
    <t>IM-101 Intelligent Media Sensor</t>
  </si>
  <si>
    <t>45225305</t>
  </si>
  <si>
    <t>MIC-4160 Fiery Image Controller for 6136 Series</t>
  </si>
  <si>
    <t>ACWNWY2</t>
  </si>
  <si>
    <t>13300006</t>
  </si>
  <si>
    <t>Plockmatic Carepack FM-400e</t>
  </si>
  <si>
    <t>13200010</t>
  </si>
  <si>
    <t xml:space="preserve">Plockmatic Carepack SD-435e_x000D_
</t>
  </si>
  <si>
    <t>13307200</t>
  </si>
  <si>
    <t xml:space="preserve">Plockmatic FM-400e Finishing Module_x000D_
</t>
  </si>
  <si>
    <t>7640020192</t>
  </si>
  <si>
    <t>PLOCKMATIC INSTALL &amp; TRAINING - KM</t>
  </si>
  <si>
    <t>13207110</t>
  </si>
  <si>
    <t>Plockmatic SD-435e Booklet Maker</t>
  </si>
  <si>
    <t xml:space="preserve">RH-101 Removable HDD
</t>
  </si>
  <si>
    <t>ACJ6WY2</t>
  </si>
  <si>
    <t>TU-504e SLITTER FOR TU-510e</t>
  </si>
  <si>
    <t>AC3TWY3</t>
  </si>
  <si>
    <t>TU-510e TRIMMER UNIT</t>
  </si>
  <si>
    <t>VI-512 Video Interface Kit</t>
  </si>
  <si>
    <t>VI-513 Video Interface Kit</t>
  </si>
  <si>
    <t xml:space="preserve">ACCURIOPRO SECURE DEALER_x000D_
</t>
  </si>
  <si>
    <t>76400223890</t>
  </si>
  <si>
    <t>Advanced Onsite Training</t>
  </si>
  <si>
    <t>76400223889</t>
  </si>
  <si>
    <t>Basic Onsite Training</t>
  </si>
  <si>
    <t>45200712</t>
  </si>
  <si>
    <t>BRACKET (REQ IC-419 &amp; PF-707m)</t>
  </si>
  <si>
    <t>FIERY IMPOSE WITHOUT ACRBT-PTSTP</t>
  </si>
  <si>
    <t>FIERY IMPOSE-COMPOSE WITHOUT ACRBT-PTSTP</t>
  </si>
  <si>
    <t>ACC0WY2</t>
  </si>
  <si>
    <t>IC-607 KM Image Controller for C4065</t>
  </si>
  <si>
    <t>3000014327</t>
  </si>
  <si>
    <t>JOBFLOW-IMPOSE-PITSTOP 2D SETUP-1YR SUP</t>
  </si>
  <si>
    <t>76400223891</t>
  </si>
  <si>
    <t>Jump-Start Remote Training</t>
  </si>
  <si>
    <t>7640022080</t>
  </si>
  <si>
    <t xml:space="preserve">KMBS DEALER ADDITIONAL FULL DAY TRAINING_x000D_
</t>
  </si>
  <si>
    <t>7640022079</t>
  </si>
  <si>
    <t>KMBS DEALER ADDITIONAL HALF DAY TRAINING</t>
  </si>
  <si>
    <t>LR5402C CUST TOWER LIGHT ASSEMBLY</t>
  </si>
  <si>
    <t>OC- 511 Original Cover</t>
  </si>
  <si>
    <t>PF-602m Paper Feed Unit</t>
  </si>
  <si>
    <t>PF-707m Paper Feed Unit</t>
  </si>
  <si>
    <t>22IN FACI/FURNITURE BUNDLE FOR NX</t>
  </si>
  <si>
    <t>76400224005</t>
  </si>
  <si>
    <t>COLOR OPTIMIZATION TRAINING</t>
  </si>
  <si>
    <t>EFI BUNDLE CPS SW ONLY JM-IM GA PRO</t>
  </si>
  <si>
    <t>EFI BUNDLE NX-22IN STAND CPS SW JM-IM GA</t>
  </si>
  <si>
    <t>WSM7725000</t>
  </si>
  <si>
    <t>GBC LAMINATOR CL-401 115V</t>
  </si>
  <si>
    <t>IC-316 MATCH PACK</t>
  </si>
  <si>
    <t>01001980A</t>
  </si>
  <si>
    <t>IC-316e CREO IMAGE CONTROLLER</t>
  </si>
  <si>
    <t>ACAXWY2</t>
  </si>
  <si>
    <t>IC-317 EFI FIERY SERVER CONTROLLER</t>
  </si>
  <si>
    <t>45223468</t>
  </si>
  <si>
    <t>IC-319_IC-318_318L_IC-317 V2.0 Upgrd Kit</t>
  </si>
  <si>
    <t>13900008</t>
  </si>
  <si>
    <t>PLOCKMATIC MPS XL POWER SUPPLY</t>
  </si>
  <si>
    <t>13907100</t>
  </si>
  <si>
    <t>PLOCKMATIC MPS XL STACKER KM</t>
  </si>
  <si>
    <t>ACMAWY2</t>
  </si>
  <si>
    <t>ACW3012</t>
  </si>
  <si>
    <t>45229084</t>
  </si>
  <si>
    <t xml:space="preserve">ADDL DRIVES/CARRIER OPTION NX PRO III_x000D_
</t>
  </si>
  <si>
    <t>45222641</t>
  </si>
  <si>
    <t xml:space="preserve">ADTL HDD AND CARRIER OPTION NX PRM IV_x000D_
</t>
  </si>
  <si>
    <t>45225044</t>
  </si>
  <si>
    <t xml:space="preserve">DISK SECURITY 2 DRIVE CARRIER NX PRO III_x000D_
</t>
  </si>
  <si>
    <t>FIERY JOBFLOW ANNUAL MAINTENANCE</t>
  </si>
  <si>
    <t>FIERY JOBFLOW W / MAINT</t>
  </si>
  <si>
    <t>FURNITURE FOR FIERY NX STATION LS W 27IN</t>
  </si>
  <si>
    <t>ACN1WY2</t>
  </si>
  <si>
    <t>IC-316AC C7100/C7090 CREO CONTROLLER</t>
  </si>
  <si>
    <t>45189980</t>
  </si>
  <si>
    <t>NX PRM 3-BAY CASE EXT HDD KIT</t>
  </si>
  <si>
    <t>A9VP012</t>
  </si>
  <si>
    <t>C14000 Fuser Loading Wagon</t>
  </si>
  <si>
    <t>ACY9W21</t>
  </si>
  <si>
    <t>FS-539SD &amp; RU-513 Booklet Finisher (50 Sheets) plus manual stapler &amp; Relay Unit</t>
  </si>
  <si>
    <t xml:space="preserve">FK-515 Fax Kit &amp; MK-742 Mount Kit </t>
  </si>
  <si>
    <t>LK-106 i-Option Bar Code Font</t>
  </si>
  <si>
    <t>LK-110v2 i-Option License Kit (Enhanced Image Data)</t>
  </si>
  <si>
    <t>LK-116 i-Option License Kit (Bitdefender Virus Scan)</t>
  </si>
  <si>
    <t>PK-527 Punch Kit - FOR FS-542 2/3 Holes</t>
  </si>
  <si>
    <t>UK-115 Fiery Controller Mount Kit Fiery Controller Mount Kit</t>
  </si>
  <si>
    <t>FS-542 INNER FINSHER</t>
  </si>
  <si>
    <t>OT-513 OUTPUT TRAY</t>
  </si>
  <si>
    <t>UK-221 UPGRADE KIT</t>
  </si>
  <si>
    <t>ACWAWY2</t>
  </si>
  <si>
    <t>OT-514 Output Tray</t>
  </si>
  <si>
    <t>bizhub 651i
(OT-513 Output Tray required when no finisher is ordered)</t>
  </si>
  <si>
    <r>
      <t xml:space="preserve">bizhub 751i </t>
    </r>
    <r>
      <rPr>
        <b/>
        <sz val="9"/>
        <rFont val="Arial"/>
        <family val="2"/>
      </rPr>
      <t>(OT-514 Output Tray required when no finisher is ordered)</t>
    </r>
  </si>
  <si>
    <t>SYS740C</t>
  </si>
  <si>
    <r>
      <t xml:space="preserve">The KIP 740C 2 Roll Multi-function Color System with Top Stacking is a wide format printer designed for versatile color and black &amp; white printing, copying, and scanning. It features Contact Control Technology (CCT) for precise image development and superior color registration. The system includes a 15.6" touchscreen and embedded KIP 720 CIS scanner. 
</t>
    </r>
    <r>
      <rPr>
        <sz val="10"/>
        <rFont val="Tahoma"/>
        <family val="2"/>
      </rPr>
      <t>**Picture below may show optional accessories not included with the base configuration. Consult VBS Sales Professional for product information.</t>
    </r>
  </si>
  <si>
    <t>DIGPDF-700K</t>
  </si>
  <si>
    <t>KIP 700 Series - PDF Format Printing Keycode</t>
  </si>
  <si>
    <t>MACH700S</t>
  </si>
  <si>
    <t>KIP 700 Stacker</t>
  </si>
  <si>
    <t>SYS760C</t>
  </si>
  <si>
    <t>KIP 760 Color MFP with Top Stacking</t>
  </si>
  <si>
    <r>
      <t xml:space="preserve">The KIP SYS760C is a 2-roll, multi-function, color wide format system that can print, copy, and scan. It features standard top stacking and optional rear stacking, and is designed for mid-volume color printing and black &amp; white printing. The system can print at speeds of 8 pages per minute for black &amp; white and 6 pages per minute for color (D size). 
</t>
    </r>
    <r>
      <rPr>
        <sz val="10"/>
        <rFont val="Tahoma"/>
        <family val="2"/>
      </rPr>
      <t>**Picture below may show optional accessories not included with the base configuration. Consult VBS Sales Professional for product information.</t>
    </r>
  </si>
  <si>
    <t>SYS7172K6</t>
  </si>
  <si>
    <r>
      <t>KIP 7170</t>
    </r>
    <r>
      <rPr>
        <sz val="10"/>
        <rFont val="Arial"/>
        <family val="2"/>
      </rPr>
      <t xml:space="preserve"> 2 Roll MFP System 6 D Size PPM</t>
    </r>
  </si>
  <si>
    <t>KIP 71 Series - PDF Format Printing Keycode</t>
  </si>
  <si>
    <t>Rear Print Receiving Tray</t>
  </si>
  <si>
    <t>KIP Accounting &amp; Cost Center</t>
  </si>
  <si>
    <t>KIP 700 Inside Delivery</t>
  </si>
  <si>
    <t>KIP 700 Forklift Delivery Service</t>
  </si>
  <si>
    <t>KIP 700 Pallet Jack</t>
  </si>
  <si>
    <t>KIP 700 Remove Dunnage</t>
  </si>
  <si>
    <t>KIP 700 Two Mean Pick-Up/Delivery</t>
  </si>
  <si>
    <t>KIP 700 Uncrate</t>
  </si>
  <si>
    <t>KIP 760 Series COLOR WIDE FORMAT</t>
  </si>
  <si>
    <t>KIP 740 COLOR WIDE FORMAT</t>
  </si>
  <si>
    <t>KIP 7580 2 Roll MFP Print System w/CIS Scanner - 10D PPM</t>
  </si>
  <si>
    <t>KIP 75 Series - PDF Format Printing Keycode</t>
  </si>
  <si>
    <t>KIP 7980 4 Roll Print System w/CIS Scanner- 14D PPM</t>
  </si>
  <si>
    <r>
      <t xml:space="preserve">The KIP 7980 is a 4-roll, wide-format, black and white print system with a built-in CIS scanner and a print speed of 14 D-size prints per minute. It's designed for demanding printing professionals and offers features like integrated top stacking, a small footprint, and the KIP System K software suite. 
</t>
    </r>
    <r>
      <rPr>
        <sz val="10"/>
        <rFont val="Tahoma"/>
        <family val="2"/>
      </rPr>
      <t>**Picture below may show optional accessories not included with the base configuration. Consult VBS Sales Professional for product information.</t>
    </r>
  </si>
  <si>
    <r>
      <t xml:space="preserve">The KIP 7580 2 Roll MFP Print System with CIS Scanner is a wide-format printer designed for high-demand print runs and quick short runs. It offers a print speed of 10 D/A1 size prints per minute and features a 2-roll configuration with a CIS scanner. The system is known for its flexibility, low cost of operation, and consistent print quality. 
</t>
    </r>
    <r>
      <rPr>
        <sz val="10"/>
        <rFont val="Tahoma"/>
        <family val="2"/>
      </rPr>
      <t>**Picture below may show optional accessories not included with the base configuration. Consult VBS Sales Professional for product information.</t>
    </r>
  </si>
  <si>
    <t>KIP 740 2 Roll Multi-function Color System 6/6 - Top Stacking</t>
  </si>
  <si>
    <t>AF28011</t>
  </si>
  <si>
    <t>Bizhub 4221i AIO</t>
  </si>
  <si>
    <t>AF26011</t>
  </si>
  <si>
    <t>Bizhub 5021i</t>
  </si>
  <si>
    <t>AF29011</t>
  </si>
  <si>
    <r>
      <t>Bizhub 4201i</t>
    </r>
    <r>
      <rPr>
        <sz val="16"/>
        <rFont val="Arial"/>
        <family val="2"/>
      </rPr>
      <t xml:space="preserve"> Monochrome Printer</t>
    </r>
  </si>
  <si>
    <t>44 ppm</t>
  </si>
  <si>
    <t>44 ppm Ltr</t>
  </si>
  <si>
    <t>KONICA MINOLTA bizhub 5021i Black and White Multifunction Printer</t>
  </si>
  <si>
    <r>
      <t xml:space="preserve">The bizhub 5021i impresses with high productivity and versatility. The amazing print speed combined with standard dual scan document feeder and duplex printing plus various optional functions make this a perfect solution for daily printing demands for any mid-sized to larger business.
</t>
    </r>
    <r>
      <rPr>
        <sz val="10"/>
        <rFont val="Tahoma"/>
        <family val="2"/>
      </rPr>
      <t>**Picture below may show optional accessories not included with the base configuration. Consult VBS Sales Professional for product information.</t>
    </r>
  </si>
  <si>
    <t>KONICA MINOLTA bizhub 4221i Black and White Multifunction Printer</t>
  </si>
  <si>
    <t>KONICA MINOLTA bizhub 4201i Monochrome Printer</t>
  </si>
  <si>
    <r>
      <t xml:space="preserve">With print, copy and color scanning capabilities as well as the standard integrated duplex unit and automatic document feeder, the bizhub 4221i is the ideal multifunctional A4 system for SMB workplace use.
</t>
    </r>
    <r>
      <rPr>
        <sz val="10"/>
        <rFont val="Tahoma"/>
        <family val="2"/>
      </rPr>
      <t>**Picture below may show optional accessories not included with the base configuration. Consult VBS Sales Professional for product information.</t>
    </r>
  </si>
  <si>
    <r>
      <t xml:space="preserve">The bizhub 4201i is a compact, low energy machine that is ideal for expanding your office network. Perfect for your wireless and mobile printing needs. 
</t>
    </r>
    <r>
      <rPr>
        <sz val="12"/>
        <rFont val="Tahoma"/>
        <family val="2"/>
      </rPr>
      <t>**Picture below may show optional accessories not included with the base configuration. Consult VBS Sales Professional for product information.</t>
    </r>
  </si>
  <si>
    <t>ACC2012</t>
  </si>
  <si>
    <t>AC58012</t>
  </si>
  <si>
    <t>CR-102 CREASER FOR TU-510</t>
  </si>
  <si>
    <t>IC-609 KM CONTROLLER</t>
  </si>
  <si>
    <t>AC57012</t>
  </si>
  <si>
    <t>AccurioPress C7090e</t>
  </si>
  <si>
    <r>
      <t xml:space="preserve">The AccurioPress C7090e is packed with several impressive features to ignite your success. From intelligent automation and enhanced finishing to flawless quality, advanced capabilities and exceptional durability you will have the power to grow your business.
</t>
    </r>
    <r>
      <rPr>
        <sz val="10"/>
        <rFont val="Tahoma"/>
        <family val="2"/>
      </rPr>
      <t xml:space="preserve">**Picture below may show optional accessories not included with the base configuration. Consult VBS Sales Professional for product information. </t>
    </r>
  </si>
  <si>
    <t>IC-318L FIERY IMAGE CONTROLLER</t>
  </si>
  <si>
    <t>MK-746 Envelope Guide Kit</t>
  </si>
  <si>
    <t>OT-511 Output Tray</t>
  </si>
  <si>
    <t xml:space="preserve">UK-112 HDD </t>
  </si>
  <si>
    <t>AccurioPress C7100e</t>
  </si>
  <si>
    <r>
      <t xml:space="preserve">The AccurioPress C7100e will get you rethinking agility. This 100 ppm colour press has the potential to make your business more profitable. Working smarter, not harder with optimised performance, flawless quality, intelligent automation, advanced media handling, enhanced finishing and exceptional durability, the AccurioPress C7100e combines a range of innovative technologies to power your business success
</t>
    </r>
    <r>
      <rPr>
        <sz val="10"/>
        <rFont val="Tahoma"/>
        <family val="2"/>
      </rPr>
      <t xml:space="preserve">**Picture below may show optional accessories not included with the base configuration. Consult VBS Sales Professional for product information. </t>
    </r>
  </si>
  <si>
    <t>AETE011</t>
  </si>
  <si>
    <t>AccurioPress C12010</t>
  </si>
  <si>
    <t xml:space="preserve">AccurioPress C12010 Digital Color Press </t>
  </si>
  <si>
    <r>
      <t xml:space="preserve">Konica Minolta is constantly rethinking what's possible. Introducing the ultra-efficient, super-reliable new AccurioPress C12010.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</si>
  <si>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AEM6WY1</t>
  </si>
  <si>
    <t>AI-101 Auto Inspection Unit</t>
  </si>
  <si>
    <t>CR-104 Cleaning Unit for EF-106</t>
  </si>
  <si>
    <t>AC4MWY2</t>
  </si>
  <si>
    <t>63900313A</t>
  </si>
  <si>
    <t>IC-320 ACTION PACK</t>
  </si>
  <si>
    <t>AEWGWY1</t>
  </si>
  <si>
    <t>IC-320 CREO CONTROLLER CMYK ONLY</t>
  </si>
  <si>
    <t>63900312A</t>
  </si>
  <si>
    <t>IC-320 FAST PACK</t>
  </si>
  <si>
    <t>63900314A</t>
  </si>
  <si>
    <t>IC-320 MATCH PACK</t>
  </si>
  <si>
    <t>63900315A</t>
  </si>
  <si>
    <t>IC-320 TRANS PACK</t>
  </si>
  <si>
    <t>AEM1WY1</t>
  </si>
  <si>
    <t>IC-322 FIERY IMAGE CONTROLLER</t>
  </si>
  <si>
    <t>AEM3WY1</t>
  </si>
  <si>
    <t>IC-323 FIERY HIGH CONTROLLER</t>
  </si>
  <si>
    <t>AEECWY1</t>
  </si>
  <si>
    <t>IM-104 Intelligent Media sensor</t>
  </si>
  <si>
    <t>AEEDWY1</t>
  </si>
  <si>
    <t>IM-105 Intelligent Media Size sensor</t>
  </si>
  <si>
    <t>AEMH0Y1</t>
  </si>
  <si>
    <t>IMAGE CONTROLLER IC-614</t>
  </si>
  <si>
    <t>AEFKWY1</t>
  </si>
  <si>
    <t>IQ-601 Intelligent Quality Optimizer</t>
  </si>
  <si>
    <t>AC4KWY2</t>
  </si>
  <si>
    <t>AC4GWY2</t>
  </si>
  <si>
    <t>AC4HWY2</t>
  </si>
  <si>
    <t>AC4JWY2</t>
  </si>
  <si>
    <t xml:space="preserve">AccurioPress C14010 Digital Color Press </t>
  </si>
  <si>
    <r>
      <t xml:space="preserve">Konica Minolta is constantly rethinking what's possible. Introducing the ultra-efficient, super-reliable new AccurioPress C14010.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</si>
  <si>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AccurioPress C14010</t>
  </si>
  <si>
    <t>AETC011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</si>
</sst>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quot;$&quot;#,##0.00"/>
    <numFmt numFmtId="167" formatCode="&quot;$&quot;#,##0.000"/>
    <numFmt numFmtId="168" formatCode="#,##0.0000"/>
    <numFmt numFmtId="169" formatCode="General_)"/>
    <numFmt numFmtId="170" formatCode="[$$-409]#,##0.00"/>
    <numFmt numFmtId="171" formatCode="0_);[Red]\(0\)"/>
    <numFmt numFmtId="172" formatCode="_(&quot;$&quot;* #,##0.0000_);_(&quot;$&quot;* \(#,##0.0000\);_(&quot;$&quot;* &quot;-&quot;????_);_(@_)"/>
    <numFmt numFmtId="173" formatCode="_-* #,##0_-;\-* #,##0_-;_-* &quot;-&quot;_-;_-@_-"/>
    <numFmt numFmtId="174" formatCode="dd\.mm\.yyyy\ hh:mm:ss"/>
    <numFmt numFmtId="175" formatCode="[$$-409]#,##0"/>
    <numFmt numFmtId="176" formatCode="0.000%"/>
  </numFmts>
  <fonts count="132">
    <font>
      <sz val="10"/>
      <name val="Arial"/>
    </font>
    <font>
      <sz val="11"/>
      <color indexed="8"/>
      <name val="Calibri"/>
      <family val="2"/>
    </font>
    <font>
      <sz val="11"/>
      <color indexed="8"/>
      <name val="Calibri"/>
      <family val="2"/>
    </font>
    <font>
      <sz val="11"/>
      <color indexed="8"/>
      <name val="Calibri"/>
      <family val="2"/>
    </font>
    <font>
      <sz val="12"/>
      <name val="Times New Roman"/>
      <family val="1"/>
    </font>
    <font>
      <sz val="10"/>
      <name val="Arial"/>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Arial"/>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name val="Osaka"/>
      <family val="3"/>
      <charset val="128"/>
    </font>
    <font>
      <b/>
      <sz val="10"/>
      <name val="Tahoma"/>
      <family val="2"/>
    </font>
    <font>
      <sz val="10"/>
      <name val="Tahoma"/>
      <family val="2"/>
    </font>
    <font>
      <sz val="24"/>
      <name val="MetaPlusBlack"/>
    </font>
    <font>
      <sz val="9"/>
      <name val="Tahoma"/>
      <family val="2"/>
    </font>
    <font>
      <b/>
      <sz val="9"/>
      <name val="Tahoma"/>
      <family val="2"/>
    </font>
    <font>
      <b/>
      <sz val="11"/>
      <name val="Tahoma"/>
      <family val="2"/>
    </font>
    <font>
      <sz val="11"/>
      <name val="Arial"/>
      <family val="2"/>
    </font>
    <font>
      <b/>
      <sz val="11"/>
      <color indexed="9"/>
      <name val="Tahoma"/>
      <family val="2"/>
    </font>
    <font>
      <sz val="10"/>
      <color indexed="63"/>
      <name val="Verdana"/>
      <family val="2"/>
    </font>
    <font>
      <b/>
      <sz val="10"/>
      <name val="Arial"/>
      <family val="2"/>
    </font>
    <font>
      <b/>
      <u/>
      <sz val="10"/>
      <name val="Tahoma"/>
      <family val="2"/>
    </font>
    <font>
      <b/>
      <sz val="11"/>
      <name val="Arial"/>
      <family val="2"/>
    </font>
    <font>
      <b/>
      <sz val="14"/>
      <name val="Tahoma"/>
      <family val="2"/>
    </font>
    <font>
      <b/>
      <sz val="10"/>
      <color indexed="9"/>
      <name val="Tahoma"/>
      <family val="2"/>
    </font>
    <font>
      <b/>
      <i/>
      <sz val="8"/>
      <name val="Tahoma"/>
      <family val="2"/>
    </font>
    <font>
      <b/>
      <sz val="8"/>
      <name val="Tahoma"/>
      <family val="2"/>
    </font>
    <font>
      <b/>
      <sz val="10"/>
      <color indexed="8"/>
      <name val="Arial"/>
      <family val="2"/>
    </font>
    <font>
      <sz val="10"/>
      <color indexed="8"/>
      <name val="Arial"/>
      <family val="2"/>
    </font>
    <font>
      <b/>
      <sz val="11"/>
      <color indexed="48"/>
      <name val="Tahoma"/>
      <family val="2"/>
    </font>
    <font>
      <b/>
      <u/>
      <sz val="11"/>
      <color indexed="48"/>
      <name val="Tahoma"/>
      <family val="2"/>
    </font>
    <font>
      <vertAlign val="superscript"/>
      <sz val="10"/>
      <name val="Tahoma"/>
      <family val="2"/>
    </font>
    <font>
      <b/>
      <sz val="14"/>
      <name val="Arial"/>
      <family val="2"/>
    </font>
    <font>
      <sz val="22"/>
      <name val="MetaPlusBlack"/>
    </font>
    <font>
      <sz val="11"/>
      <name val="Tahoma"/>
      <family val="2"/>
    </font>
    <font>
      <b/>
      <sz val="12"/>
      <color indexed="10"/>
      <name val="Arial"/>
      <family val="2"/>
    </font>
    <font>
      <sz val="8"/>
      <name val="Arial"/>
      <family val="2"/>
    </font>
    <font>
      <sz val="28"/>
      <name val="MetaPlusBlack"/>
    </font>
    <font>
      <b/>
      <sz val="12"/>
      <name val="Tahoma"/>
      <family val="2"/>
    </font>
    <font>
      <sz val="12"/>
      <name val="Arial"/>
      <family val="2"/>
    </font>
    <font>
      <b/>
      <sz val="14"/>
      <color indexed="9"/>
      <name val="Tahoma"/>
      <family val="2"/>
    </font>
    <font>
      <sz val="14"/>
      <name val="Tahoma"/>
      <family val="2"/>
    </font>
    <font>
      <sz val="14"/>
      <name val="Arial"/>
      <family val="2"/>
    </font>
    <font>
      <sz val="16"/>
      <name val="Tahoma"/>
      <family val="2"/>
    </font>
    <font>
      <b/>
      <i/>
      <sz val="16"/>
      <name val="Tahoma"/>
      <family val="2"/>
    </font>
    <font>
      <b/>
      <sz val="16"/>
      <name val="Tahoma"/>
      <family val="2"/>
    </font>
    <font>
      <b/>
      <sz val="16"/>
      <name val="Arial"/>
      <family val="2"/>
    </font>
    <font>
      <sz val="18"/>
      <name val="Arial"/>
      <family val="2"/>
    </font>
    <font>
      <b/>
      <sz val="18"/>
      <name val="Arial"/>
      <family val="2"/>
    </font>
    <font>
      <sz val="12"/>
      <name val="Tahoma"/>
      <family val="2"/>
    </font>
    <font>
      <sz val="16"/>
      <name val="Arial"/>
      <family val="2"/>
    </font>
    <font>
      <sz val="14"/>
      <name val="Times New Roman"/>
      <family val="1"/>
    </font>
    <font>
      <sz val="14"/>
      <color indexed="8"/>
      <name val="Arial"/>
      <family val="2"/>
    </font>
    <font>
      <b/>
      <sz val="14"/>
      <color indexed="8"/>
      <name val="Arial"/>
      <family val="2"/>
    </font>
    <font>
      <b/>
      <sz val="22"/>
      <name val="Arial"/>
      <family val="2"/>
    </font>
    <font>
      <b/>
      <sz val="9"/>
      <color indexed="8"/>
      <name val="Arial"/>
      <family val="2"/>
    </font>
    <font>
      <b/>
      <sz val="11"/>
      <color indexed="8"/>
      <name val="Arial"/>
      <family val="2"/>
    </font>
    <font>
      <sz val="11"/>
      <color indexed="20"/>
      <name val="Calibri"/>
      <family val="2"/>
    </font>
    <font>
      <b/>
      <sz val="18"/>
      <color indexed="57"/>
      <name val="Cambria"/>
      <family val="2"/>
    </font>
    <font>
      <b/>
      <sz val="15"/>
      <color indexed="57"/>
      <name val="Calibri"/>
      <family val="2"/>
    </font>
    <font>
      <b/>
      <sz val="13"/>
      <color indexed="57"/>
      <name val="Calibri"/>
      <family val="2"/>
    </font>
    <font>
      <b/>
      <sz val="11"/>
      <color indexed="57"/>
      <name val="Calibri"/>
      <family val="2"/>
    </font>
    <font>
      <sz val="11"/>
      <color indexed="58"/>
      <name val="Calibri"/>
      <family val="2"/>
    </font>
    <font>
      <sz val="11"/>
      <color indexed="19"/>
      <name val="Calibri"/>
      <family val="2"/>
    </font>
    <font>
      <b/>
      <sz val="11"/>
      <color indexed="10"/>
      <name val="Calibri"/>
      <family val="2"/>
    </font>
    <font>
      <sz val="9"/>
      <name val="Arial"/>
      <family val="2"/>
    </font>
    <font>
      <b/>
      <sz val="8"/>
      <name val="Arial"/>
      <family val="2"/>
    </font>
    <font>
      <b/>
      <i/>
      <sz val="14"/>
      <name val="Verdana"/>
      <family val="2"/>
    </font>
    <font>
      <sz val="11"/>
      <color indexed="8"/>
      <name val="Helvetica Neue"/>
    </font>
    <font>
      <sz val="11"/>
      <color indexed="9"/>
      <name val="Helvetica Neue"/>
    </font>
    <font>
      <sz val="10"/>
      <name val="Helv"/>
      <charset val="204"/>
    </font>
    <font>
      <sz val="11"/>
      <name val="돋움"/>
      <family val="3"/>
      <charset val="129"/>
    </font>
    <font>
      <u/>
      <sz val="8"/>
      <color indexed="12"/>
      <name val="Times New Roman"/>
      <family val="1"/>
    </font>
    <font>
      <vertAlign val="superscript"/>
      <sz val="10"/>
      <name val="Arial"/>
      <family val="2"/>
    </font>
    <font>
      <b/>
      <sz val="16"/>
      <color indexed="8"/>
      <name val="Arial"/>
      <family val="2"/>
    </font>
    <font>
      <sz val="16"/>
      <name val="Times New Roman"/>
      <family val="1"/>
    </font>
    <font>
      <sz val="16"/>
      <color indexed="8"/>
      <name val="Arial"/>
      <family val="2"/>
    </font>
    <font>
      <b/>
      <sz val="20"/>
      <name val="Tahoma"/>
      <family val="2"/>
    </font>
    <font>
      <b/>
      <sz val="24"/>
      <name val="Arial"/>
      <family val="2"/>
    </font>
    <font>
      <b/>
      <sz val="10"/>
      <color indexed="9"/>
      <name val="Arial"/>
      <family val="2"/>
    </font>
    <font>
      <b/>
      <sz val="20"/>
      <name val="Arial"/>
      <family val="2"/>
    </font>
    <font>
      <sz val="20"/>
      <name val="Arial"/>
      <family val="2"/>
    </font>
    <font>
      <sz val="22"/>
      <name val="Arial"/>
      <family val="2"/>
    </font>
    <font>
      <sz val="24"/>
      <name val="Arial"/>
      <family val="2"/>
    </font>
    <font>
      <b/>
      <sz val="26"/>
      <name val="Arial"/>
      <family val="2"/>
    </font>
    <font>
      <sz val="26"/>
      <name val="Arial"/>
      <family val="2"/>
    </font>
    <font>
      <b/>
      <sz val="28"/>
      <name val="Arial"/>
      <family val="2"/>
    </font>
    <font>
      <sz val="28"/>
      <name val="Arial"/>
      <family val="2"/>
    </font>
    <font>
      <sz val="8"/>
      <name val="Arial"/>
      <family val="2"/>
    </font>
    <font>
      <i/>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Arial"/>
      <family val="2"/>
    </font>
    <font>
      <u/>
      <sz val="8.1999999999999993"/>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0"/>
      <color theme="1"/>
      <name val="Arial"/>
      <family val="2"/>
    </font>
    <font>
      <sz val="10"/>
      <color rgb="FF000000"/>
      <name val="Arial"/>
      <family val="2"/>
    </font>
    <font>
      <b/>
      <sz val="16"/>
      <color rgb="FF000000"/>
      <name val="Arial"/>
      <family val="2"/>
    </font>
    <font>
      <sz val="9"/>
      <color theme="1"/>
      <name val="Arial"/>
      <family val="2"/>
    </font>
    <font>
      <sz val="12"/>
      <color indexed="8"/>
      <name val="Arial"/>
      <family val="2"/>
    </font>
    <font>
      <b/>
      <sz val="9"/>
      <name val="Arial"/>
      <family val="2"/>
    </font>
  </fonts>
  <fills count="61">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8"/>
        <bgColor indexed="64"/>
      </patternFill>
    </fill>
    <fill>
      <patternFill patternType="solid">
        <fgColor indexed="9"/>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22"/>
      </patternFill>
    </fill>
    <fill>
      <patternFill patternType="solid">
        <fgColor indexed="27"/>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19"/>
      </patternFill>
    </fill>
    <fill>
      <patternFill patternType="solid">
        <fgColor indexed="10"/>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s>
  <borders count="59">
    <border>
      <left/>
      <right/>
      <top/>
      <bottom/>
      <diagonal/>
    </border>
    <border>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diagonal/>
    </border>
    <border>
      <left style="thin">
        <color indexed="8"/>
      </left>
      <right style="thin">
        <color indexed="8"/>
      </right>
      <top style="thin">
        <color indexed="8"/>
      </top>
      <bottom/>
      <diagonal/>
    </border>
    <border>
      <left style="medium">
        <color indexed="64"/>
      </left>
      <right style="thin">
        <color indexed="8"/>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medium">
        <color indexed="64"/>
      </right>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03">
    <xf numFmtId="0" fontId="0" fillId="0" borderId="0"/>
    <xf numFmtId="170" fontId="4" fillId="0" borderId="0"/>
    <xf numFmtId="0" fontId="80" fillId="2" borderId="1">
      <alignment vertical="center" wrapText="1"/>
    </xf>
    <xf numFmtId="174" fontId="80" fillId="2" borderId="1">
      <alignment horizontal="left" vertical="center" wrapText="1"/>
    </xf>
    <xf numFmtId="0" fontId="79" fillId="3" borderId="0">
      <alignment vertical="center" wrapText="1"/>
    </xf>
    <xf numFmtId="49" fontId="50" fillId="0" borderId="2">
      <alignment horizontal="left" vertical="center" wrapText="1"/>
    </xf>
    <xf numFmtId="0" fontId="80" fillId="4" borderId="3">
      <alignment vertical="center" wrapText="1"/>
    </xf>
    <xf numFmtId="49" fontId="81" fillId="4" borderId="1">
      <alignment vertical="center"/>
    </xf>
    <xf numFmtId="170" fontId="5" fillId="0" borderId="0" applyNumberFormat="0" applyFill="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04" fillId="2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4" fillId="2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04"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04"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04"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4"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4"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4"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04"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4"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4"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04"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3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5" fillId="3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5" fillId="4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5"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05" fillId="4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4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5" fillId="4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5"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05"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5" fillId="4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05" fillId="49"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06"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1" fillId="8" borderId="0" applyNumberFormat="0" applyBorder="0" applyAlignment="0" applyProtection="0"/>
    <xf numFmtId="0" fontId="7" fillId="8" borderId="0"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07" fillId="51" borderId="50" applyNumberFormat="0" applyAlignment="0" applyProtection="0"/>
    <xf numFmtId="0" fontId="8" fillId="5" borderId="4" applyNumberFormat="0" applyAlignment="0" applyProtection="0"/>
    <xf numFmtId="0" fontId="8" fillId="5" borderId="4" applyNumberFormat="0" applyAlignment="0" applyProtection="0"/>
    <xf numFmtId="0" fontId="78" fillId="5" borderId="4" applyNumberFormat="0" applyAlignment="0" applyProtection="0"/>
    <xf numFmtId="0" fontId="8" fillId="5" borderId="4" applyNumberFormat="0" applyAlignment="0" applyProtection="0"/>
    <xf numFmtId="0" fontId="9" fillId="22" borderId="5" applyNumberFormat="0" applyAlignment="0" applyProtection="0"/>
    <xf numFmtId="0" fontId="9" fillId="22" borderId="5" applyNumberFormat="0" applyAlignment="0" applyProtection="0"/>
    <xf numFmtId="0" fontId="9" fillId="22" borderId="5" applyNumberFormat="0" applyAlignment="0" applyProtection="0"/>
    <xf numFmtId="0" fontId="108" fillId="52" borderId="51" applyNumberFormat="0" applyAlignment="0" applyProtection="0"/>
    <xf numFmtId="0" fontId="9" fillId="22" borderId="5" applyNumberFormat="0" applyAlignment="0" applyProtection="0"/>
    <xf numFmtId="0" fontId="9" fillId="22" borderId="5" applyNumberFormat="0" applyAlignment="0" applyProtection="0"/>
    <xf numFmtId="38"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0" fontId="5" fillId="0" borderId="0">
      <alignment wrapText="1"/>
    </xf>
    <xf numFmtId="175" fontId="5" fillId="0" borderId="0">
      <alignment wrapText="1"/>
    </xf>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10" fillId="5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76" fillId="13" borderId="0" applyNumberFormat="0" applyBorder="0" applyAlignment="0" applyProtection="0"/>
    <xf numFmtId="0" fontId="13" fillId="11"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11" fillId="0" borderId="52"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73"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12" fillId="0" borderId="53"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74" fillId="0" borderId="8" applyNumberFormat="0" applyFill="0" applyAlignment="0" applyProtection="0"/>
    <xf numFmtId="0" fontId="15" fillId="0" borderId="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13" fillId="0" borderId="54"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75" fillId="0" borderId="10" applyNumberFormat="0" applyFill="0" applyAlignment="0" applyProtection="0"/>
    <xf numFmtId="0" fontId="16" fillId="0" borderId="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5" fillId="0" borderId="0" applyNumberFormat="0" applyFill="0" applyBorder="0" applyAlignment="0" applyProtection="0"/>
    <xf numFmtId="0" fontId="16"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17" fillId="54" borderId="50" applyNumberFormat="0" applyAlignment="0" applyProtection="0"/>
    <xf numFmtId="0" fontId="17" fillId="7" borderId="4" applyNumberFormat="0" applyAlignment="0" applyProtection="0"/>
    <xf numFmtId="0" fontId="17" fillId="7" borderId="4" applyNumberFormat="0" applyAlignment="0" applyProtection="0"/>
    <xf numFmtId="0" fontId="17" fillId="9" borderId="4" applyNumberFormat="0" applyAlignment="0" applyProtection="0"/>
    <xf numFmtId="0" fontId="17" fillId="7" borderId="4" applyNumberFormat="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18" fillId="0" borderId="55"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23" fillId="0" borderId="12" applyNumberFormat="0" applyFill="0" applyAlignment="0" applyProtection="0"/>
    <xf numFmtId="0" fontId="18" fillId="0" borderId="11" applyNumberFormat="0" applyFill="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19" fillId="5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77" fillId="14" borderId="0" applyNumberFormat="0" applyBorder="0" applyAlignment="0" applyProtection="0"/>
    <xf numFmtId="0" fontId="19" fillId="14" borderId="0" applyNumberFormat="0" applyBorder="0" applyAlignment="0" applyProtection="0"/>
    <xf numFmtId="0" fontId="104" fillId="0" borderId="0"/>
    <xf numFmtId="0" fontId="5" fillId="0" borderId="0"/>
    <xf numFmtId="175" fontId="104" fillId="0" borderId="0"/>
    <xf numFmtId="0" fontId="5" fillId="0" borderId="0"/>
    <xf numFmtId="0" fontId="82" fillId="0" borderId="0" applyNumberFormat="0" applyFill="0" applyBorder="0" applyProtection="0">
      <alignment vertical="top"/>
    </xf>
    <xf numFmtId="0" fontId="5" fillId="0" borderId="0"/>
    <xf numFmtId="0" fontId="104" fillId="0" borderId="0"/>
    <xf numFmtId="0" fontId="104" fillId="0" borderId="0"/>
    <xf numFmtId="0" fontId="120" fillId="0" borderId="0"/>
    <xf numFmtId="0" fontId="5" fillId="0" borderId="0"/>
    <xf numFmtId="37" fontId="5" fillId="0" borderId="0"/>
    <xf numFmtId="37" fontId="5" fillId="0" borderId="0"/>
    <xf numFmtId="0" fontId="5" fillId="0" borderId="0"/>
    <xf numFmtId="0" fontId="1" fillId="0" borderId="0"/>
    <xf numFmtId="0" fontId="5" fillId="0" borderId="0"/>
    <xf numFmtId="0" fontId="104" fillId="0" borderId="0"/>
    <xf numFmtId="0" fontId="5" fillId="0" borderId="0"/>
    <xf numFmtId="0" fontId="5" fillId="0" borderId="0"/>
    <xf numFmtId="0" fontId="104" fillId="0" borderId="0"/>
    <xf numFmtId="175" fontId="104" fillId="0" borderId="0"/>
    <xf numFmtId="0" fontId="5" fillId="0" borderId="0"/>
    <xf numFmtId="0" fontId="5" fillId="0" borderId="0"/>
    <xf numFmtId="175" fontId="104" fillId="0" borderId="0"/>
    <xf numFmtId="0" fontId="3" fillId="0" borderId="0"/>
    <xf numFmtId="0" fontId="1" fillId="0" borderId="0"/>
    <xf numFmtId="175" fontId="104" fillId="0" borderId="0"/>
    <xf numFmtId="0" fontId="5" fillId="0" borderId="0"/>
    <xf numFmtId="0" fontId="2" fillId="0" borderId="0"/>
    <xf numFmtId="0" fontId="5" fillId="0" borderId="0"/>
    <xf numFmtId="175" fontId="104" fillId="0" borderId="0"/>
    <xf numFmtId="0" fontId="104" fillId="0" borderId="0"/>
    <xf numFmtId="175" fontId="104" fillId="0" borderId="0"/>
    <xf numFmtId="0" fontId="104" fillId="0" borderId="0"/>
    <xf numFmtId="175" fontId="104" fillId="0" borderId="0"/>
    <xf numFmtId="0" fontId="104" fillId="0" borderId="0"/>
    <xf numFmtId="175" fontId="104" fillId="0" borderId="0"/>
    <xf numFmtId="0" fontId="4" fillId="0" borderId="0"/>
    <xf numFmtId="0" fontId="1" fillId="0" borderId="0"/>
    <xf numFmtId="0" fontId="10" fillId="0" borderId="0"/>
    <xf numFmtId="37" fontId="5" fillId="0" borderId="0"/>
    <xf numFmtId="0" fontId="5" fillId="0" borderId="0"/>
    <xf numFmtId="37" fontId="5" fillId="0" borderId="0"/>
    <xf numFmtId="0" fontId="5" fillId="0" borderId="0"/>
    <xf numFmtId="37" fontId="5" fillId="0" borderId="0"/>
    <xf numFmtId="37" fontId="5" fillId="0" borderId="0"/>
    <xf numFmtId="0" fontId="1" fillId="0" borderId="0"/>
    <xf numFmtId="0" fontId="4" fillId="0" borderId="0"/>
    <xf numFmtId="0" fontId="10" fillId="10" borderId="2" applyNumberFormat="0" applyFont="0" applyAlignment="0" applyProtection="0"/>
    <xf numFmtId="0" fontId="3" fillId="10" borderId="2" applyNumberFormat="0" applyFont="0" applyAlignment="0" applyProtection="0"/>
    <xf numFmtId="0" fontId="1" fillId="10" borderId="2"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04"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20" fillId="5" borderId="13" applyNumberFormat="0" applyAlignment="0" applyProtection="0"/>
    <xf numFmtId="0" fontId="20" fillId="5" borderId="13" applyNumberFormat="0" applyAlignment="0" applyProtection="0"/>
    <xf numFmtId="0" fontId="20" fillId="5" borderId="13" applyNumberFormat="0" applyAlignment="0" applyProtection="0"/>
    <xf numFmtId="0" fontId="121" fillId="51" borderId="57" applyNumberFormat="0" applyAlignment="0" applyProtection="0"/>
    <xf numFmtId="0" fontId="20" fillId="5" borderId="13" applyNumberFormat="0" applyAlignment="0" applyProtection="0"/>
    <xf numFmtId="0" fontId="20" fillId="5" borderId="13"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04" fillId="0" borderId="0" applyFont="0" applyFill="0" applyBorder="0" applyAlignment="0" applyProtection="0"/>
    <xf numFmtId="9" fontId="83" fillId="0" borderId="0" applyFont="0" applyFill="0" applyBorder="0" applyAlignment="0" applyProtection="0"/>
    <xf numFmtId="1" fontId="5" fillId="0" borderId="0" applyFont="0" applyFill="0" applyBorder="0" applyProtection="0">
      <alignment horizontal="center"/>
    </xf>
    <xf numFmtId="0" fontId="4" fillId="0" borderId="0"/>
    <xf numFmtId="0" fontId="8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2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2" fillId="0" borderId="0" applyNumberFormat="0" applyFill="0" applyBorder="0" applyAlignment="0" applyProtection="0"/>
    <xf numFmtId="0" fontId="21" fillId="0" borderId="0" applyNumberFormat="0" applyFill="0" applyBorder="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123" fillId="0" borderId="58"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3" fontId="85" fillId="0" borderId="0" applyFont="0" applyFill="0" applyBorder="0" applyAlignment="0" applyProtection="0">
      <alignment vertical="center"/>
    </xf>
    <xf numFmtId="0" fontId="24" fillId="0" borderId="0"/>
    <xf numFmtId="0" fontId="1" fillId="0" borderId="0"/>
    <xf numFmtId="0" fontId="1" fillId="0" borderId="0"/>
    <xf numFmtId="0" fontId="1" fillId="0" borderId="0"/>
    <xf numFmtId="0" fontId="5" fillId="0" borderId="0"/>
  </cellStyleXfs>
  <cellXfs count="1402">
    <xf numFmtId="0" fontId="0" fillId="0" borderId="0" xfId="0"/>
    <xf numFmtId="44" fontId="34" fillId="0" borderId="15" xfId="222" applyFont="1" applyFill="1" applyBorder="1" applyAlignment="1" applyProtection="1">
      <alignment horizontal="center" vertical="center"/>
      <protection hidden="1"/>
    </xf>
    <xf numFmtId="44" fontId="42" fillId="0" borderId="16" xfId="0" applyNumberFormat="1" applyFont="1" applyBorder="1" applyAlignment="1" applyProtection="1">
      <alignment horizontal="right"/>
      <protection hidden="1"/>
    </xf>
    <xf numFmtId="44" fontId="42" fillId="0" borderId="17" xfId="0" applyNumberFormat="1" applyFont="1" applyBorder="1" applyAlignment="1" applyProtection="1">
      <alignment horizontal="right"/>
      <protection hidden="1"/>
    </xf>
    <xf numFmtId="164" fontId="10" fillId="0" borderId="0" xfId="222" applyNumberFormat="1" applyProtection="1">
      <protection hidden="1"/>
    </xf>
    <xf numFmtId="0" fontId="0" fillId="0" borderId="0" xfId="0" applyProtection="1">
      <protection hidden="1"/>
    </xf>
    <xf numFmtId="44" fontId="36" fillId="0" borderId="0" xfId="0" applyNumberFormat="1" applyFont="1" applyAlignment="1" applyProtection="1">
      <alignment horizontal="center"/>
      <protection hidden="1"/>
    </xf>
    <xf numFmtId="0" fontId="36" fillId="0" borderId="0" xfId="0" applyFont="1" applyAlignment="1" applyProtection="1">
      <alignment horizontal="center"/>
      <protection hidden="1"/>
    </xf>
    <xf numFmtId="44" fontId="42" fillId="0" borderId="17" xfId="348" applyNumberFormat="1" applyFont="1" applyBorder="1" applyProtection="1">
      <protection hidden="1"/>
    </xf>
    <xf numFmtId="44" fontId="42" fillId="0" borderId="17" xfId="348" applyNumberFormat="1" applyFont="1" applyBorder="1" applyAlignment="1" applyProtection="1">
      <alignment horizontal="right"/>
      <protection hidden="1"/>
    </xf>
    <xf numFmtId="44" fontId="42" fillId="0" borderId="16" xfId="348" applyNumberFormat="1" applyFont="1" applyBorder="1" applyAlignment="1" applyProtection="1">
      <alignment horizontal="right"/>
      <protection hidden="1"/>
    </xf>
    <xf numFmtId="44" fontId="5" fillId="0" borderId="16" xfId="348" applyNumberFormat="1" applyFont="1" applyBorder="1" applyProtection="1">
      <protection hidden="1"/>
    </xf>
    <xf numFmtId="44" fontId="34" fillId="0" borderId="17" xfId="222" applyFont="1" applyFill="1" applyBorder="1" applyAlignment="1" applyProtection="1">
      <alignment vertical="center"/>
      <protection hidden="1"/>
    </xf>
    <xf numFmtId="44" fontId="34" fillId="0" borderId="17" xfId="222" applyFont="1" applyFill="1" applyBorder="1" applyAlignment="1" applyProtection="1">
      <alignment horizontal="center" vertical="center"/>
      <protection hidden="1"/>
    </xf>
    <xf numFmtId="44" fontId="42" fillId="0" borderId="17" xfId="0" applyNumberFormat="1" applyFont="1" applyBorder="1" applyProtection="1">
      <protection hidden="1"/>
    </xf>
    <xf numFmtId="164" fontId="10" fillId="0" borderId="0" xfId="222" applyNumberFormat="1" applyAlignment="1" applyProtection="1">
      <alignment horizontal="center"/>
      <protection hidden="1"/>
    </xf>
    <xf numFmtId="164" fontId="10" fillId="0" borderId="0" xfId="222" applyNumberFormat="1" applyAlignment="1" applyProtection="1">
      <protection hidden="1"/>
    </xf>
    <xf numFmtId="0" fontId="0" fillId="0" borderId="0" xfId="0" applyAlignment="1" applyProtection="1">
      <alignment horizontal="center"/>
      <protection hidden="1"/>
    </xf>
    <xf numFmtId="44" fontId="66" fillId="0" borderId="17" xfId="348" applyNumberFormat="1" applyFont="1" applyBorder="1" applyAlignment="1" applyProtection="1">
      <alignment horizontal="right"/>
      <protection hidden="1"/>
    </xf>
    <xf numFmtId="169" fontId="66" fillId="0" borderId="17" xfId="1" applyNumberFormat="1" applyFont="1" applyBorder="1" applyAlignment="1" applyProtection="1">
      <alignment horizontal="left"/>
      <protection hidden="1"/>
    </xf>
    <xf numFmtId="0" fontId="0" fillId="0" borderId="18" xfId="0" applyBorder="1" applyProtection="1">
      <protection hidden="1"/>
    </xf>
    <xf numFmtId="0" fontId="0" fillId="0" borderId="19" xfId="0" applyBorder="1" applyProtection="1">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44" fontId="5" fillId="0" borderId="16" xfId="0" applyNumberFormat="1" applyFont="1" applyBorder="1" applyProtection="1">
      <protection hidden="1"/>
    </xf>
    <xf numFmtId="44" fontId="5" fillId="0" borderId="17" xfId="0" applyNumberFormat="1" applyFont="1" applyBorder="1" applyProtection="1">
      <protection hidden="1"/>
    </xf>
    <xf numFmtId="44" fontId="5" fillId="0" borderId="16" xfId="222" applyFont="1" applyFill="1" applyBorder="1" applyAlignment="1" applyProtection="1">
      <protection hidden="1"/>
    </xf>
    <xf numFmtId="44" fontId="5" fillId="0" borderId="17" xfId="222" applyFont="1" applyFill="1" applyBorder="1" applyAlignment="1" applyProtection="1">
      <protection hidden="1"/>
    </xf>
    <xf numFmtId="44" fontId="34" fillId="0" borderId="17" xfId="223" applyFont="1" applyFill="1" applyBorder="1" applyAlignment="1" applyProtection="1">
      <alignment horizontal="right"/>
      <protection hidden="1"/>
    </xf>
    <xf numFmtId="44" fontId="34" fillId="0" borderId="17" xfId="223" applyFont="1" applyFill="1" applyBorder="1" applyAlignment="1" applyProtection="1">
      <protection hidden="1"/>
    </xf>
    <xf numFmtId="44" fontId="34" fillId="0" borderId="17" xfId="223" applyFont="1" applyFill="1" applyBorder="1" applyAlignment="1" applyProtection="1">
      <alignment horizontal="center" vertical="center"/>
      <protection hidden="1"/>
    </xf>
    <xf numFmtId="164" fontId="5" fillId="0" borderId="17" xfId="223" applyNumberFormat="1" applyFont="1" applyFill="1" applyBorder="1" applyAlignment="1" applyProtection="1">
      <alignment horizontal="right"/>
      <protection hidden="1"/>
    </xf>
    <xf numFmtId="44" fontId="5" fillId="0" borderId="17" xfId="223" applyFont="1" applyFill="1" applyBorder="1" applyAlignment="1" applyProtection="1">
      <alignment horizontal="right"/>
      <protection hidden="1"/>
    </xf>
    <xf numFmtId="164" fontId="5" fillId="0" borderId="18" xfId="223" applyNumberFormat="1" applyFont="1" applyFill="1" applyBorder="1" applyAlignment="1" applyProtection="1">
      <alignment horizontal="right"/>
      <protection hidden="1"/>
    </xf>
    <xf numFmtId="0" fontId="5" fillId="0" borderId="18" xfId="303" applyBorder="1" applyAlignment="1" applyProtection="1">
      <alignment horizontal="center" vertical="center"/>
      <protection hidden="1"/>
    </xf>
    <xf numFmtId="0" fontId="5" fillId="0" borderId="19" xfId="303" applyBorder="1" applyAlignment="1" applyProtection="1">
      <alignment horizontal="center" vertical="center"/>
      <protection hidden="1"/>
    </xf>
    <xf numFmtId="44" fontId="5" fillId="0" borderId="18" xfId="223" applyFont="1" applyFill="1" applyBorder="1" applyAlignment="1" applyProtection="1">
      <alignment horizontal="right"/>
      <protection hidden="1"/>
    </xf>
    <xf numFmtId="164" fontId="5" fillId="0" borderId="15" xfId="223" applyNumberFormat="1" applyFont="1" applyFill="1" applyBorder="1" applyAlignment="1" applyProtection="1">
      <alignment horizontal="right"/>
      <protection hidden="1"/>
    </xf>
    <xf numFmtId="44" fontId="42" fillId="0" borderId="17" xfId="303" applyNumberFormat="1" applyFont="1" applyBorder="1" applyProtection="1">
      <protection hidden="1"/>
    </xf>
    <xf numFmtId="44" fontId="5" fillId="0" borderId="16" xfId="303" applyNumberFormat="1" applyBorder="1" applyProtection="1">
      <protection hidden="1"/>
    </xf>
    <xf numFmtId="44" fontId="42" fillId="0" borderId="16" xfId="303" applyNumberFormat="1" applyFont="1" applyBorder="1" applyAlignment="1" applyProtection="1">
      <alignment horizontal="right"/>
      <protection hidden="1"/>
    </xf>
    <xf numFmtId="44" fontId="42" fillId="0" borderId="17" xfId="303" applyNumberFormat="1" applyFont="1" applyBorder="1" applyAlignment="1" applyProtection="1">
      <alignment horizontal="right"/>
      <protection hidden="1"/>
    </xf>
    <xf numFmtId="44" fontId="0" fillId="0" borderId="18" xfId="0" applyNumberFormat="1" applyBorder="1" applyAlignment="1" applyProtection="1">
      <alignment horizontal="center" vertical="center"/>
      <protection hidden="1"/>
    </xf>
    <xf numFmtId="44" fontId="0" fillId="0" borderId="19" xfId="0" applyNumberFormat="1" applyBorder="1" applyAlignment="1" applyProtection="1">
      <alignment horizontal="center" vertical="center"/>
      <protection hidden="1"/>
    </xf>
    <xf numFmtId="4" fontId="26" fillId="0" borderId="21" xfId="0" applyNumberFormat="1" applyFont="1" applyBorder="1" applyAlignment="1" applyProtection="1">
      <alignment horizontal="center" vertical="center"/>
      <protection hidden="1"/>
    </xf>
    <xf numFmtId="4" fontId="26" fillId="0" borderId="0" xfId="0" applyNumberFormat="1" applyFont="1" applyAlignment="1" applyProtection="1">
      <alignment horizontal="center" vertical="center"/>
      <protection hidden="1"/>
    </xf>
    <xf numFmtId="165" fontId="34" fillId="0" borderId="22" xfId="0" applyNumberFormat="1" applyFont="1" applyBorder="1" applyAlignment="1" applyProtection="1">
      <alignment horizontal="center"/>
      <protection hidden="1"/>
    </xf>
    <xf numFmtId="44" fontId="34" fillId="0" borderId="17" xfId="0" applyNumberFormat="1" applyFont="1" applyBorder="1" applyAlignment="1" applyProtection="1">
      <alignment horizontal="center" vertical="center"/>
      <protection hidden="1"/>
    </xf>
    <xf numFmtId="44" fontId="34" fillId="0" borderId="20" xfId="0" applyNumberFormat="1" applyFont="1" applyBorder="1" applyAlignment="1" applyProtection="1">
      <alignment horizontal="center" vertical="center"/>
      <protection hidden="1"/>
    </xf>
    <xf numFmtId="44" fontId="5" fillId="0" borderId="24" xfId="0" applyNumberFormat="1" applyFont="1" applyBorder="1" applyProtection="1">
      <protection hidden="1"/>
    </xf>
    <xf numFmtId="44" fontId="34" fillId="0" borderId="17" xfId="222" applyFont="1" applyFill="1" applyBorder="1" applyAlignment="1" applyProtection="1">
      <protection hidden="1"/>
    </xf>
    <xf numFmtId="44" fontId="36" fillId="0" borderId="0" xfId="348" applyNumberFormat="1" applyFont="1" applyAlignment="1" applyProtection="1">
      <alignment horizontal="center"/>
      <protection hidden="1"/>
    </xf>
    <xf numFmtId="44" fontId="5" fillId="0" borderId="17" xfId="348" applyNumberFormat="1" applyFont="1" applyBorder="1" applyProtection="1">
      <protection hidden="1"/>
    </xf>
    <xf numFmtId="44" fontId="5" fillId="0" borderId="17" xfId="348" applyNumberFormat="1" applyFont="1" applyBorder="1" applyAlignment="1" applyProtection="1">
      <alignment horizontal="right"/>
      <protection hidden="1"/>
    </xf>
    <xf numFmtId="44" fontId="5" fillId="0" borderId="16" xfId="348" applyNumberFormat="1" applyFont="1" applyBorder="1" applyAlignment="1" applyProtection="1">
      <alignment horizontal="right"/>
      <protection hidden="1"/>
    </xf>
    <xf numFmtId="0" fontId="40" fillId="0" borderId="17" xfId="0" applyFont="1" applyBorder="1" applyAlignment="1" applyProtection="1">
      <alignment horizontal="center" vertical="center" wrapText="1"/>
      <protection locked="0" hidden="1"/>
    </xf>
    <xf numFmtId="0" fontId="25" fillId="0" borderId="17" xfId="0" applyFont="1" applyBorder="1" applyAlignment="1" applyProtection="1">
      <alignment horizontal="center" vertical="center" wrapText="1"/>
      <protection locked="0" hidden="1"/>
    </xf>
    <xf numFmtId="0" fontId="25" fillId="0" borderId="16" xfId="0" applyFont="1" applyBorder="1" applyAlignment="1" applyProtection="1">
      <alignment horizontal="center" vertical="center" wrapText="1"/>
      <protection locked="0" hidden="1"/>
    </xf>
    <xf numFmtId="0" fontId="40" fillId="0" borderId="16" xfId="0" applyFont="1" applyBorder="1" applyAlignment="1" applyProtection="1">
      <alignment horizontal="center" vertical="center" wrapText="1"/>
      <protection locked="0" hidden="1"/>
    </xf>
    <xf numFmtId="0" fontId="34" fillId="0" borderId="15" xfId="0" applyFont="1" applyBorder="1" applyAlignment="1" applyProtection="1">
      <alignment horizontal="center" vertical="center"/>
      <protection locked="0" hidden="1"/>
    </xf>
    <xf numFmtId="0" fontId="34" fillId="0" borderId="17" xfId="0" applyFont="1" applyBorder="1" applyAlignment="1" applyProtection="1">
      <alignment wrapText="1"/>
      <protection locked="0" hidden="1"/>
    </xf>
    <xf numFmtId="44" fontId="34" fillId="0" borderId="17" xfId="0" applyNumberFormat="1" applyFont="1" applyBorder="1" applyAlignment="1" applyProtection="1">
      <alignment horizontal="center" vertical="center" wrapText="1"/>
      <protection locked="0" hidden="1"/>
    </xf>
    <xf numFmtId="44" fontId="34" fillId="0" borderId="17" xfId="222" applyFont="1" applyFill="1" applyBorder="1" applyAlignment="1" applyProtection="1">
      <alignment horizontal="center" vertical="center"/>
      <protection locked="0" hidden="1"/>
    </xf>
    <xf numFmtId="0" fontId="5" fillId="0" borderId="17" xfId="0" applyFont="1" applyBorder="1" applyAlignment="1" applyProtection="1">
      <alignment horizontal="center"/>
      <protection locked="0" hidden="1"/>
    </xf>
    <xf numFmtId="0" fontId="5" fillId="0" borderId="17" xfId="0" applyFont="1" applyBorder="1" applyAlignment="1" applyProtection="1">
      <alignment horizontal="left"/>
      <protection locked="0" hidden="1"/>
    </xf>
    <xf numFmtId="44" fontId="0" fillId="0" borderId="17" xfId="0" applyNumberFormat="1" applyBorder="1" applyProtection="1">
      <protection locked="0" hidden="1"/>
    </xf>
    <xf numFmtId="0" fontId="0" fillId="0" borderId="20"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18" xfId="0" applyBorder="1" applyAlignment="1" applyProtection="1">
      <alignment horizontal="center"/>
      <protection locked="0" hidden="1"/>
    </xf>
    <xf numFmtId="0" fontId="0" fillId="0" borderId="18" xfId="0" applyBorder="1" applyProtection="1">
      <protection locked="0" hidden="1"/>
    </xf>
    <xf numFmtId="44" fontId="0" fillId="0" borderId="18" xfId="0" applyNumberFormat="1" applyBorder="1" applyProtection="1">
      <protection locked="0" hidden="1"/>
    </xf>
    <xf numFmtId="0" fontId="0" fillId="0" borderId="19" xfId="0" applyBorder="1" applyAlignment="1" applyProtection="1">
      <alignment horizontal="center" vertical="center"/>
      <protection locked="0" hidden="1"/>
    </xf>
    <xf numFmtId="0" fontId="5" fillId="0" borderId="17" xfId="0" applyFont="1" applyBorder="1" applyAlignment="1" applyProtection="1">
      <alignment horizontal="center" vertical="center"/>
      <protection locked="0" hidden="1"/>
    </xf>
    <xf numFmtId="0" fontId="0" fillId="0" borderId="0" xfId="0" applyProtection="1">
      <protection locked="0" hidden="1"/>
    </xf>
    <xf numFmtId="0" fontId="25" fillId="0" borderId="0" xfId="0" applyFont="1" applyAlignment="1" applyProtection="1">
      <alignment wrapText="1"/>
      <protection locked="0" hidden="1"/>
    </xf>
    <xf numFmtId="0" fontId="25" fillId="0" borderId="0" xfId="0" applyFont="1" applyProtection="1">
      <protection locked="0" hidden="1"/>
    </xf>
    <xf numFmtId="44" fontId="25" fillId="0" borderId="0" xfId="0" applyNumberFormat="1" applyFont="1" applyProtection="1">
      <protection locked="0" hidden="1"/>
    </xf>
    <xf numFmtId="0" fontId="0" fillId="0" borderId="25" xfId="0" applyBorder="1" applyProtection="1">
      <protection locked="0" hidden="1"/>
    </xf>
    <xf numFmtId="0" fontId="25" fillId="0" borderId="25" xfId="0" applyFont="1" applyBorder="1" applyAlignment="1" applyProtection="1">
      <alignment wrapText="1"/>
      <protection locked="0" hidden="1"/>
    </xf>
    <xf numFmtId="0" fontId="25" fillId="0" borderId="25" xfId="0" applyFont="1" applyBorder="1" applyProtection="1">
      <protection locked="0" hidden="1"/>
    </xf>
    <xf numFmtId="44" fontId="25" fillId="0" borderId="25" xfId="0" applyNumberFormat="1" applyFont="1" applyBorder="1" applyProtection="1">
      <protection locked="0" hidden="1"/>
    </xf>
    <xf numFmtId="0" fontId="26" fillId="0" borderId="25" xfId="0" applyFont="1" applyBorder="1" applyProtection="1">
      <protection locked="0" hidden="1"/>
    </xf>
    <xf numFmtId="0" fontId="26" fillId="0" borderId="0" xfId="0" applyFont="1" applyProtection="1">
      <protection locked="0" hidden="1"/>
    </xf>
    <xf numFmtId="0" fontId="0" fillId="0" borderId="0" xfId="0" applyAlignment="1" applyProtection="1">
      <alignment vertical="center"/>
      <protection locked="0" hidden="1"/>
    </xf>
    <xf numFmtId="0" fontId="0" fillId="0" borderId="26" xfId="0" applyBorder="1" applyProtection="1">
      <protection locked="0" hidden="1"/>
    </xf>
    <xf numFmtId="0" fontId="25" fillId="0" borderId="26" xfId="0" applyFont="1" applyBorder="1" applyAlignment="1" applyProtection="1">
      <alignment wrapText="1"/>
      <protection locked="0" hidden="1"/>
    </xf>
    <xf numFmtId="0" fontId="25" fillId="0" borderId="26" xfId="0" applyFont="1" applyBorder="1" applyProtection="1">
      <protection locked="0" hidden="1"/>
    </xf>
    <xf numFmtId="44" fontId="25" fillId="0" borderId="26" xfId="0" applyNumberFormat="1" applyFont="1" applyBorder="1" applyProtection="1">
      <protection locked="0" hidden="1"/>
    </xf>
    <xf numFmtId="0" fontId="26" fillId="0" borderId="26" xfId="0" applyFont="1" applyBorder="1" applyProtection="1">
      <protection locked="0" hidden="1"/>
    </xf>
    <xf numFmtId="0" fontId="30" fillId="0" borderId="0" xfId="0" applyFont="1" applyAlignment="1" applyProtection="1">
      <alignment horizontal="center"/>
      <protection locked="0" hidden="1"/>
    </xf>
    <xf numFmtId="0" fontId="31" fillId="0" borderId="0" xfId="0" applyFont="1" applyAlignment="1" applyProtection="1">
      <alignment horizontal="center"/>
      <protection locked="0" hidden="1"/>
    </xf>
    <xf numFmtId="0" fontId="30" fillId="0" borderId="0" xfId="0" applyFont="1" applyAlignment="1" applyProtection="1">
      <alignment horizontal="right"/>
      <protection locked="0" hidden="1"/>
    </xf>
    <xf numFmtId="0" fontId="25" fillId="0" borderId="0" xfId="0" applyFont="1" applyAlignment="1" applyProtection="1">
      <alignment horizontal="right"/>
      <protection locked="0" hidden="1"/>
    </xf>
    <xf numFmtId="0" fontId="26" fillId="0" borderId="0" xfId="0" applyFont="1" applyAlignment="1" applyProtection="1">
      <alignment horizontal="left"/>
      <protection locked="0" hidden="1"/>
    </xf>
    <xf numFmtId="164" fontId="26" fillId="0" borderId="0" xfId="222" applyNumberFormat="1" applyFont="1" applyFill="1" applyAlignment="1" applyProtection="1">
      <protection locked="0" hidden="1"/>
    </xf>
    <xf numFmtId="0" fontId="25" fillId="0" borderId="0" xfId="0" applyFont="1" applyAlignment="1" applyProtection="1">
      <alignment horizontal="right" vertical="top"/>
      <protection locked="0" hidden="1"/>
    </xf>
    <xf numFmtId="0" fontId="26" fillId="0" borderId="0" xfId="0" applyFont="1" applyAlignment="1" applyProtection="1">
      <alignment horizontal="left" wrapText="1"/>
      <protection locked="0" hidden="1"/>
    </xf>
    <xf numFmtId="44" fontId="30" fillId="0" borderId="0" xfId="0" applyNumberFormat="1" applyFont="1" applyAlignment="1" applyProtection="1">
      <alignment horizontal="center"/>
      <protection locked="0" hidden="1"/>
    </xf>
    <xf numFmtId="3" fontId="26" fillId="0" borderId="0" xfId="0" applyNumberFormat="1" applyFont="1" applyAlignment="1" applyProtection="1">
      <alignment horizontal="left"/>
      <protection locked="0" hidden="1"/>
    </xf>
    <xf numFmtId="0" fontId="25" fillId="0" borderId="0" xfId="0" applyFont="1" applyAlignment="1" applyProtection="1">
      <alignment horizontal="right" wrapText="1"/>
      <protection locked="0" hidden="1"/>
    </xf>
    <xf numFmtId="8" fontId="26" fillId="0" borderId="0" xfId="0" applyNumberFormat="1" applyFont="1" applyAlignment="1" applyProtection="1">
      <alignment horizontal="left"/>
      <protection locked="0" hidden="1"/>
    </xf>
    <xf numFmtId="2" fontId="26" fillId="0" borderId="0" xfId="0" applyNumberFormat="1" applyFont="1" applyProtection="1">
      <protection locked="0" hidden="1"/>
    </xf>
    <xf numFmtId="2" fontId="0" fillId="0" borderId="0" xfId="0" applyNumberFormat="1" applyProtection="1">
      <protection locked="0" hidden="1"/>
    </xf>
    <xf numFmtId="0" fontId="10" fillId="0" borderId="0" xfId="340" applyProtection="1">
      <protection locked="0" hidden="1"/>
    </xf>
    <xf numFmtId="0" fontId="31" fillId="0" borderId="0" xfId="0" applyFont="1" applyProtection="1">
      <protection locked="0" hidden="1"/>
    </xf>
    <xf numFmtId="0" fontId="32" fillId="0" borderId="0" xfId="0" applyFont="1" applyAlignment="1" applyProtection="1">
      <alignment horizontal="center" vertical="center" wrapText="1"/>
      <protection locked="0" hidden="1"/>
    </xf>
    <xf numFmtId="0" fontId="0" fillId="0" borderId="22" xfId="0" applyBorder="1" applyProtection="1">
      <protection locked="0" hidden="1"/>
    </xf>
    <xf numFmtId="0" fontId="0" fillId="0" borderId="27" xfId="0" applyBorder="1" applyProtection="1">
      <protection locked="0" hidden="1"/>
    </xf>
    <xf numFmtId="0" fontId="0" fillId="0" borderId="28" xfId="0" applyBorder="1" applyProtection="1">
      <protection locked="0" hidden="1"/>
    </xf>
    <xf numFmtId="0" fontId="35" fillId="0" borderId="0" xfId="0" applyFont="1" applyProtection="1">
      <protection locked="0" hidden="1"/>
    </xf>
    <xf numFmtId="164" fontId="26" fillId="0" borderId="0" xfId="222" applyNumberFormat="1" applyFont="1" applyBorder="1" applyAlignment="1" applyProtection="1">
      <alignment horizontal="center" vertical="center" wrapText="1"/>
      <protection locked="0" hidden="1"/>
    </xf>
    <xf numFmtId="164" fontId="26" fillId="0" borderId="0" xfId="222" applyNumberFormat="1" applyFont="1" applyAlignment="1" applyProtection="1">
      <alignment horizontal="center" vertical="center" wrapText="1"/>
      <protection locked="0" hidden="1"/>
    </xf>
    <xf numFmtId="0" fontId="36" fillId="0" borderId="0" xfId="0" applyFont="1" applyAlignment="1" applyProtection="1">
      <alignment horizontal="center"/>
      <protection locked="0" hidden="1"/>
    </xf>
    <xf numFmtId="164" fontId="26" fillId="0" borderId="0" xfId="222" applyNumberFormat="1" applyFont="1" applyFill="1" applyBorder="1" applyAlignment="1" applyProtection="1">
      <alignment horizontal="center" vertical="center" wrapText="1"/>
      <protection locked="0" hidden="1"/>
    </xf>
    <xf numFmtId="164" fontId="26" fillId="0" borderId="0" xfId="222" applyNumberFormat="1" applyFont="1" applyFill="1" applyAlignment="1" applyProtection="1">
      <alignment horizontal="center" vertical="center" wrapText="1"/>
      <protection locked="0" hidden="1"/>
    </xf>
    <xf numFmtId="0" fontId="37" fillId="0" borderId="0" xfId="0" applyFont="1" applyAlignment="1" applyProtection="1">
      <alignment horizontal="right"/>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8" fontId="37" fillId="0" borderId="0" xfId="0" applyNumberFormat="1" applyFont="1" applyAlignment="1" applyProtection="1">
      <alignment horizontal="left"/>
      <protection locked="0" hidden="1"/>
    </xf>
    <xf numFmtId="0" fontId="38" fillId="0" borderId="0" xfId="0" applyFont="1" applyAlignment="1" applyProtection="1">
      <alignment horizontal="center" vertical="center" wrapText="1"/>
      <protection locked="0" hidden="1"/>
    </xf>
    <xf numFmtId="0" fontId="26" fillId="0" borderId="0" xfId="0" applyFont="1" applyAlignment="1" applyProtection="1">
      <alignment horizontal="center" vertical="center" wrapText="1"/>
      <protection locked="0" hidden="1"/>
    </xf>
    <xf numFmtId="0" fontId="34" fillId="0" borderId="15" xfId="0" applyFont="1" applyBorder="1" applyAlignment="1" applyProtection="1">
      <alignment horizontal="left" vertical="center" wrapText="1"/>
      <protection locked="0" hidden="1"/>
    </xf>
    <xf numFmtId="44" fontId="34" fillId="0" borderId="15" xfId="0" applyNumberFormat="1" applyFont="1" applyBorder="1" applyAlignment="1" applyProtection="1">
      <alignment horizontal="center" vertical="center" wrapText="1"/>
      <protection locked="0" hidden="1"/>
    </xf>
    <xf numFmtId="4" fontId="25" fillId="0" borderId="0" xfId="0" applyNumberFormat="1" applyFont="1" applyAlignment="1" applyProtection="1">
      <alignment horizontal="center"/>
      <protection locked="0" hidden="1"/>
    </xf>
    <xf numFmtId="0" fontId="34" fillId="0" borderId="0" xfId="0" applyFont="1" applyAlignment="1" applyProtection="1">
      <alignment horizontal="center"/>
      <protection locked="0" hidden="1"/>
    </xf>
    <xf numFmtId="0" fontId="26" fillId="0" borderId="0" xfId="0" applyFont="1" applyAlignment="1" applyProtection="1">
      <alignment horizontal="center"/>
      <protection locked="0" hidden="1"/>
    </xf>
    <xf numFmtId="0" fontId="0" fillId="0" borderId="16" xfId="0"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0" fillId="0" borderId="0" xfId="0" applyAlignment="1" applyProtection="1">
      <alignment horizontal="center"/>
      <protection locked="0" hidden="1"/>
    </xf>
    <xf numFmtId="0" fontId="43" fillId="0" borderId="0" xfId="0" applyFont="1" applyProtection="1">
      <protection locked="0" hidden="1"/>
    </xf>
    <xf numFmtId="164" fontId="10" fillId="0" borderId="0" xfId="222" applyNumberFormat="1" applyProtection="1">
      <protection locked="0" hidden="1"/>
    </xf>
    <xf numFmtId="0" fontId="4" fillId="0" borderId="0" xfId="0" applyFont="1" applyProtection="1">
      <protection locked="0" hidden="1"/>
    </xf>
    <xf numFmtId="44" fontId="42" fillId="0" borderId="17" xfId="0" applyNumberFormat="1" applyFont="1" applyBorder="1" applyAlignment="1" applyProtection="1">
      <alignment horizontal="right"/>
      <protection locked="0" hidden="1"/>
    </xf>
    <xf numFmtId="0" fontId="104" fillId="0" borderId="0" xfId="302" applyProtection="1">
      <protection locked="0" hidden="1"/>
    </xf>
    <xf numFmtId="0" fontId="44" fillId="0" borderId="0" xfId="0" applyFont="1" applyProtection="1">
      <protection locked="0" hidden="1"/>
    </xf>
    <xf numFmtId="164" fontId="10" fillId="0" borderId="0" xfId="222" applyNumberFormat="1" applyAlignment="1" applyProtection="1">
      <alignment horizontal="center"/>
      <protection locked="0" hidden="1"/>
    </xf>
    <xf numFmtId="44" fontId="32" fillId="0" borderId="0" xfId="0" applyNumberFormat="1" applyFont="1" applyAlignment="1" applyProtection="1">
      <alignment horizontal="center"/>
      <protection locked="0" hidden="1"/>
    </xf>
    <xf numFmtId="0" fontId="42" fillId="0" borderId="17" xfId="0" applyFont="1" applyBorder="1" applyAlignment="1" applyProtection="1">
      <alignment horizontal="left" vertical="top" wrapText="1"/>
      <protection locked="0" hidden="1"/>
    </xf>
    <xf numFmtId="44" fontId="42" fillId="0" borderId="17" xfId="0" applyNumberFormat="1" applyFont="1" applyBorder="1" applyProtection="1">
      <protection locked="0" hidden="1"/>
    </xf>
    <xf numFmtId="0" fontId="4" fillId="0" borderId="0" xfId="348" applyProtection="1">
      <protection locked="0" hidden="1"/>
    </xf>
    <xf numFmtId="0" fontId="25" fillId="0" borderId="0" xfId="348" applyFont="1" applyAlignment="1" applyProtection="1">
      <alignment wrapText="1"/>
      <protection locked="0" hidden="1"/>
    </xf>
    <xf numFmtId="0" fontId="25" fillId="0" borderId="0" xfId="348" applyFont="1" applyProtection="1">
      <protection locked="0" hidden="1"/>
    </xf>
    <xf numFmtId="44" fontId="25" fillId="0" borderId="0" xfId="348" applyNumberFormat="1" applyFont="1" applyProtection="1">
      <protection locked="0" hidden="1"/>
    </xf>
    <xf numFmtId="0" fontId="4" fillId="0" borderId="25" xfId="348" applyBorder="1" applyProtection="1">
      <protection locked="0" hidden="1"/>
    </xf>
    <xf numFmtId="0" fontId="25" fillId="0" borderId="25" xfId="348" applyFont="1" applyBorder="1" applyAlignment="1" applyProtection="1">
      <alignment wrapText="1"/>
      <protection locked="0" hidden="1"/>
    </xf>
    <xf numFmtId="0" fontId="25" fillId="0" borderId="25" xfId="348" applyFont="1" applyBorder="1" applyProtection="1">
      <protection locked="0" hidden="1"/>
    </xf>
    <xf numFmtId="44" fontId="25" fillId="0" borderId="25" xfId="348" applyNumberFormat="1" applyFont="1" applyBorder="1" applyProtection="1">
      <protection locked="0" hidden="1"/>
    </xf>
    <xf numFmtId="0" fontId="26" fillId="0" borderId="25" xfId="348" applyFont="1" applyBorder="1" applyProtection="1">
      <protection locked="0" hidden="1"/>
    </xf>
    <xf numFmtId="0" fontId="26" fillId="0" borderId="0" xfId="348" applyFont="1" applyProtection="1">
      <protection locked="0" hidden="1"/>
    </xf>
    <xf numFmtId="0" fontId="4" fillId="0" borderId="0" xfId="348" applyAlignment="1" applyProtection="1">
      <alignment vertical="center"/>
      <protection locked="0" hidden="1"/>
    </xf>
    <xf numFmtId="0" fontId="4" fillId="0" borderId="26" xfId="348" applyBorder="1" applyProtection="1">
      <protection locked="0" hidden="1"/>
    </xf>
    <xf numFmtId="0" fontId="25" fillId="0" borderId="26" xfId="348" applyFont="1" applyBorder="1" applyAlignment="1" applyProtection="1">
      <alignment wrapText="1"/>
      <protection locked="0" hidden="1"/>
    </xf>
    <xf numFmtId="0" fontId="25" fillId="0" borderId="26" xfId="348" applyFont="1" applyBorder="1" applyProtection="1">
      <protection locked="0" hidden="1"/>
    </xf>
    <xf numFmtId="44" fontId="25" fillId="0" borderId="26" xfId="348" applyNumberFormat="1" applyFont="1" applyBorder="1" applyProtection="1">
      <protection locked="0" hidden="1"/>
    </xf>
    <xf numFmtId="0" fontId="26" fillId="0" borderId="26" xfId="348" applyFont="1" applyBorder="1" applyProtection="1">
      <protection locked="0" hidden="1"/>
    </xf>
    <xf numFmtId="0" fontId="30" fillId="0" borderId="0" xfId="348" applyFont="1" applyAlignment="1" applyProtection="1">
      <alignment horizontal="center"/>
      <protection locked="0" hidden="1"/>
    </xf>
    <xf numFmtId="0" fontId="31" fillId="0" borderId="0" xfId="348" applyFont="1" applyAlignment="1" applyProtection="1">
      <alignment horizontal="center"/>
      <protection locked="0" hidden="1"/>
    </xf>
    <xf numFmtId="0" fontId="26" fillId="0" borderId="0" xfId="374" applyFont="1" applyProtection="1">
      <protection locked="0" hidden="1"/>
    </xf>
    <xf numFmtId="0" fontId="48" fillId="0" borderId="0" xfId="374" applyFont="1" applyProtection="1">
      <protection locked="0" hidden="1"/>
    </xf>
    <xf numFmtId="0" fontId="48" fillId="0" borderId="0" xfId="348" applyFont="1" applyProtection="1">
      <protection locked="0" hidden="1"/>
    </xf>
    <xf numFmtId="0" fontId="33" fillId="0" borderId="0" xfId="348" applyFont="1" applyProtection="1">
      <protection locked="0" hidden="1"/>
    </xf>
    <xf numFmtId="0" fontId="30" fillId="0" borderId="0" xfId="374" applyFont="1" applyAlignment="1" applyProtection="1">
      <alignment horizontal="right"/>
      <protection locked="0" hidden="1"/>
    </xf>
    <xf numFmtId="0" fontId="30" fillId="0" borderId="0" xfId="348" applyFont="1" applyAlignment="1" applyProtection="1">
      <alignment horizontal="right"/>
      <protection locked="0" hidden="1"/>
    </xf>
    <xf numFmtId="12" fontId="26" fillId="0" borderId="0" xfId="0" applyNumberFormat="1" applyFont="1" applyAlignment="1" applyProtection="1">
      <alignment horizontal="left"/>
      <protection locked="0" hidden="1"/>
    </xf>
    <xf numFmtId="0" fontId="26" fillId="0" borderId="0" xfId="348" applyFont="1" applyAlignment="1" applyProtection="1">
      <alignment horizontal="left"/>
      <protection locked="0" hidden="1"/>
    </xf>
    <xf numFmtId="0" fontId="32" fillId="0" borderId="0" xfId="348" applyFont="1" applyAlignment="1" applyProtection="1">
      <alignment horizontal="center" vertical="center" wrapText="1"/>
      <protection locked="0" hidden="1"/>
    </xf>
    <xf numFmtId="0" fontId="31" fillId="0" borderId="0" xfId="348" applyFont="1" applyProtection="1">
      <protection locked="0" hidden="1"/>
    </xf>
    <xf numFmtId="0" fontId="38" fillId="0" borderId="0" xfId="348" applyFont="1" applyAlignment="1" applyProtection="1">
      <alignment horizontal="center" vertical="center" wrapText="1"/>
      <protection locked="0" hidden="1"/>
    </xf>
    <xf numFmtId="0" fontId="40" fillId="0" borderId="17" xfId="348" applyFont="1" applyBorder="1" applyAlignment="1" applyProtection="1">
      <alignment horizontal="center" vertical="center" wrapText="1"/>
      <protection locked="0" hidden="1"/>
    </xf>
    <xf numFmtId="0" fontId="25" fillId="0" borderId="17" xfId="348" applyFont="1" applyBorder="1" applyAlignment="1" applyProtection="1">
      <alignment horizontal="center" vertical="center" wrapText="1"/>
      <protection locked="0" hidden="1"/>
    </xf>
    <xf numFmtId="0" fontId="26" fillId="0" borderId="0" xfId="348" applyFont="1" applyAlignment="1" applyProtection="1">
      <alignment horizontal="center" vertical="center" wrapText="1"/>
      <protection locked="0" hidden="1"/>
    </xf>
    <xf numFmtId="0" fontId="34" fillId="0" borderId="0" xfId="348" applyFont="1" applyAlignment="1" applyProtection="1">
      <alignment horizontal="center" vertical="center"/>
      <protection locked="0" hidden="1"/>
    </xf>
    <xf numFmtId="44" fontId="5" fillId="0" borderId="17" xfId="345" applyNumberFormat="1" applyBorder="1" applyProtection="1">
      <protection locked="0" hidden="1"/>
    </xf>
    <xf numFmtId="49" fontId="5" fillId="0" borderId="17" xfId="343" applyNumberFormat="1" applyBorder="1" applyAlignment="1" applyProtection="1">
      <alignment horizontal="center"/>
      <protection locked="0" hidden="1"/>
    </xf>
    <xf numFmtId="44" fontId="5" fillId="0" borderId="17" xfId="1" applyNumberFormat="1" applyFont="1" applyBorder="1" applyProtection="1">
      <protection locked="0" hidden="1"/>
    </xf>
    <xf numFmtId="0" fontId="125" fillId="0" borderId="0" xfId="348" applyFont="1" applyAlignment="1" applyProtection="1">
      <alignment horizontal="center" wrapText="1"/>
      <protection locked="0" hidden="1"/>
    </xf>
    <xf numFmtId="0" fontId="5" fillId="0" borderId="17" xfId="0" applyFont="1" applyBorder="1" applyAlignment="1" applyProtection="1">
      <alignment wrapText="1"/>
      <protection locked="0" hidden="1"/>
    </xf>
    <xf numFmtId="44" fontId="42" fillId="0" borderId="17" xfId="1" applyNumberFormat="1" applyFont="1" applyBorder="1" applyProtection="1">
      <protection locked="0" hidden="1"/>
    </xf>
    <xf numFmtId="0" fontId="36" fillId="0" borderId="0" xfId="348" applyFont="1" applyAlignment="1" applyProtection="1">
      <alignment horizontal="center"/>
      <protection locked="0" hidden="1"/>
    </xf>
    <xf numFmtId="0" fontId="34" fillId="0" borderId="0" xfId="348" applyFont="1" applyProtection="1">
      <protection locked="0" hidden="1"/>
    </xf>
    <xf numFmtId="0" fontId="5" fillId="0" borderId="0" xfId="348" applyFont="1" applyAlignment="1" applyProtection="1">
      <alignment horizontal="center" wrapText="1"/>
      <protection locked="0" hidden="1"/>
    </xf>
    <xf numFmtId="0" fontId="25" fillId="0" borderId="0" xfId="374" applyFont="1" applyAlignment="1" applyProtection="1">
      <alignment horizontal="right"/>
      <protection locked="0" hidden="1"/>
    </xf>
    <xf numFmtId="0" fontId="25" fillId="0" borderId="0" xfId="348" applyFont="1" applyAlignment="1" applyProtection="1">
      <alignment horizontal="right"/>
      <protection locked="0" hidden="1"/>
    </xf>
    <xf numFmtId="0" fontId="41" fillId="0" borderId="15" xfId="348" applyFont="1" applyBorder="1" applyAlignment="1" applyProtection="1">
      <alignment horizontal="left" vertical="center" wrapText="1"/>
      <protection locked="0" hidden="1"/>
    </xf>
    <xf numFmtId="164" fontId="26" fillId="0" borderId="0" xfId="222" applyNumberFormat="1" applyFont="1" applyProtection="1">
      <protection locked="0" hidden="1"/>
    </xf>
    <xf numFmtId="0" fontId="26" fillId="0" borderId="0" xfId="374" applyFont="1" applyAlignment="1" applyProtection="1">
      <alignment horizontal="left"/>
      <protection locked="0" hidden="1"/>
    </xf>
    <xf numFmtId="0" fontId="33" fillId="0" borderId="0" xfId="0" applyFont="1" applyAlignment="1" applyProtection="1">
      <alignment vertical="top" wrapText="1"/>
      <protection locked="0" hidden="1"/>
    </xf>
    <xf numFmtId="0" fontId="0" fillId="0" borderId="0" xfId="0" applyAlignment="1" applyProtection="1">
      <alignment horizontal="center" wrapText="1"/>
      <protection locked="0" hidden="1"/>
    </xf>
    <xf numFmtId="0" fontId="40" fillId="0" borderId="17" xfId="374" applyFont="1" applyBorder="1" applyAlignment="1" applyProtection="1">
      <alignment horizontal="center" vertical="center" wrapText="1"/>
      <protection locked="0" hidden="1"/>
    </xf>
    <xf numFmtId="0" fontId="25" fillId="0" borderId="17" xfId="374" applyFont="1" applyBorder="1" applyAlignment="1" applyProtection="1">
      <alignment horizontal="center" vertical="center" wrapText="1"/>
      <protection locked="0" hidden="1"/>
    </xf>
    <xf numFmtId="0" fontId="34" fillId="0" borderId="17" xfId="374" applyFont="1" applyBorder="1" applyAlignment="1" applyProtection="1">
      <alignment horizontal="center" vertical="center" wrapText="1"/>
      <protection locked="0" hidden="1"/>
    </xf>
    <xf numFmtId="49" fontId="34" fillId="0" borderId="17" xfId="374" applyNumberFormat="1" applyFont="1" applyBorder="1" applyAlignment="1" applyProtection="1">
      <alignment horizontal="center" vertical="center"/>
      <protection locked="0" hidden="1"/>
    </xf>
    <xf numFmtId="49" fontId="34" fillId="0" borderId="17" xfId="374" applyNumberFormat="1" applyFont="1" applyBorder="1" applyAlignment="1" applyProtection="1">
      <alignment horizontal="left" vertical="center"/>
      <protection locked="0" hidden="1"/>
    </xf>
    <xf numFmtId="0" fontId="34" fillId="0" borderId="17" xfId="374" applyFont="1" applyBorder="1" applyAlignment="1" applyProtection="1">
      <alignment horizontal="left" vertical="center"/>
      <protection locked="0" hidden="1"/>
    </xf>
    <xf numFmtId="44" fontId="34" fillId="0" borderId="17" xfId="374" applyNumberFormat="1" applyFont="1" applyBorder="1" applyAlignment="1" applyProtection="1">
      <alignment horizontal="left" vertical="center"/>
      <protection locked="0" hidden="1"/>
    </xf>
    <xf numFmtId="0" fontId="42" fillId="0" borderId="17" xfId="222" applyNumberFormat="1" applyFont="1" applyFill="1" applyBorder="1" applyAlignment="1" applyProtection="1">
      <alignment horizontal="left"/>
      <protection locked="0" hidden="1"/>
    </xf>
    <xf numFmtId="44" fontId="5" fillId="0" borderId="17" xfId="222" applyFont="1" applyFill="1" applyBorder="1" applyAlignment="1" applyProtection="1">
      <alignment horizontal="right" vertical="center"/>
      <protection locked="0" hidden="1"/>
    </xf>
    <xf numFmtId="44" fontId="5" fillId="0" borderId="17" xfId="222" applyFont="1" applyFill="1" applyBorder="1" applyAlignment="1" applyProtection="1">
      <alignment horizontal="center" vertical="center"/>
      <protection locked="0" hidden="1"/>
    </xf>
    <xf numFmtId="0" fontId="34" fillId="0" borderId="0" xfId="374" applyFont="1" applyAlignment="1" applyProtection="1">
      <alignment horizontal="center" vertical="center" wrapText="1"/>
      <protection locked="0" hidden="1"/>
    </xf>
    <xf numFmtId="0" fontId="5" fillId="0" borderId="17" xfId="374" applyFont="1" applyBorder="1" applyAlignment="1" applyProtection="1">
      <alignment horizontal="left"/>
      <protection locked="0" hidden="1"/>
    </xf>
    <xf numFmtId="0" fontId="5" fillId="0" borderId="17" xfId="374" applyFont="1" applyBorder="1" applyAlignment="1" applyProtection="1">
      <alignment wrapText="1"/>
      <protection locked="0" hidden="1"/>
    </xf>
    <xf numFmtId="44" fontId="5" fillId="0" borderId="17" xfId="346" applyNumberFormat="1" applyBorder="1" applyProtection="1">
      <protection locked="0" hidden="1"/>
    </xf>
    <xf numFmtId="49" fontId="5" fillId="0" borderId="17" xfId="346" applyNumberFormat="1" applyBorder="1" applyAlignment="1" applyProtection="1">
      <alignment horizontal="left"/>
      <protection locked="0" hidden="1"/>
    </xf>
    <xf numFmtId="0" fontId="49" fillId="23" borderId="0" xfId="0" applyFont="1" applyFill="1" applyProtection="1">
      <protection locked="0" hidden="1"/>
    </xf>
    <xf numFmtId="0" fontId="0" fillId="23" borderId="0" xfId="0" applyFill="1" applyProtection="1">
      <protection locked="0" hidden="1"/>
    </xf>
    <xf numFmtId="0" fontId="26" fillId="0" borderId="0" xfId="0" applyFont="1" applyAlignment="1" applyProtection="1">
      <alignment horizontal="center" vertical="center"/>
      <protection locked="0" hidden="1"/>
    </xf>
    <xf numFmtId="0" fontId="34" fillId="0" borderId="17" xfId="374" applyFont="1" applyBorder="1" applyAlignment="1" applyProtection="1">
      <alignment horizontal="left" vertical="center" wrapText="1"/>
      <protection locked="0" hidden="1"/>
    </xf>
    <xf numFmtId="49" fontId="60" fillId="0" borderId="29" xfId="341" applyNumberFormat="1" applyFont="1" applyBorder="1" applyAlignment="1" applyProtection="1">
      <alignment horizontal="center" vertical="center"/>
      <protection locked="0" hidden="1"/>
    </xf>
    <xf numFmtId="0" fontId="46" fillId="0" borderId="0" xfId="374" applyFont="1" applyProtection="1">
      <protection locked="0" hidden="1"/>
    </xf>
    <xf numFmtId="0" fontId="65" fillId="0" borderId="0" xfId="374" applyFont="1" applyProtection="1">
      <protection locked="0" hidden="1"/>
    </xf>
    <xf numFmtId="0" fontId="56" fillId="0" borderId="17" xfId="341" applyNumberFormat="1" applyFont="1" applyBorder="1" applyAlignment="1" applyProtection="1">
      <alignment horizontal="center"/>
      <protection locked="0" hidden="1"/>
    </xf>
    <xf numFmtId="169" fontId="66" fillId="0" borderId="17" xfId="1" applyNumberFormat="1" applyFont="1" applyBorder="1" applyAlignment="1" applyProtection="1">
      <alignment horizontal="left"/>
      <protection locked="0" hidden="1"/>
    </xf>
    <xf numFmtId="44" fontId="66" fillId="0" borderId="17" xfId="348" applyNumberFormat="1" applyFont="1" applyBorder="1" applyAlignment="1" applyProtection="1">
      <alignment horizontal="right"/>
      <protection locked="0" hidden="1"/>
    </xf>
    <xf numFmtId="0" fontId="25" fillId="0" borderId="0" xfId="0" applyFont="1" applyAlignment="1" applyProtection="1">
      <alignment horizontal="left" wrapText="1"/>
      <protection locked="0" hidden="1"/>
    </xf>
    <xf numFmtId="0" fontId="25" fillId="0" borderId="25" xfId="0" applyFont="1" applyBorder="1" applyAlignment="1" applyProtection="1">
      <alignment horizontal="left" wrapText="1"/>
      <protection locked="0" hidden="1"/>
    </xf>
    <xf numFmtId="0" fontId="33" fillId="0" borderId="0" xfId="0" applyFont="1" applyAlignment="1" applyProtection="1">
      <alignment horizontal="left" vertical="top" wrapText="1"/>
      <protection locked="0" hidden="1"/>
    </xf>
    <xf numFmtId="0" fontId="28" fillId="0" borderId="0" xfId="0" applyFont="1" applyProtection="1">
      <protection locked="0" hidden="1"/>
    </xf>
    <xf numFmtId="0" fontId="26" fillId="0" borderId="22" xfId="0" applyFont="1" applyBorder="1" applyProtection="1">
      <protection locked="0" hidden="1"/>
    </xf>
    <xf numFmtId="8" fontId="26" fillId="0" borderId="22" xfId="0" applyNumberFormat="1" applyFont="1" applyBorder="1" applyAlignment="1" applyProtection="1">
      <alignment horizontal="left"/>
      <protection locked="0" hidden="1"/>
    </xf>
    <xf numFmtId="0" fontId="26" fillId="0" borderId="28" xfId="0" applyFont="1" applyBorder="1" applyProtection="1">
      <protection locked="0" hidden="1"/>
    </xf>
    <xf numFmtId="167" fontId="26" fillId="0" borderId="0" xfId="0" applyNumberFormat="1" applyFont="1" applyProtection="1">
      <protection locked="0" hidden="1"/>
    </xf>
    <xf numFmtId="0" fontId="35" fillId="0" borderId="0" xfId="0" applyFont="1" applyAlignment="1" applyProtection="1">
      <alignment horizontal="left"/>
      <protection locked="0" hidden="1"/>
    </xf>
    <xf numFmtId="0" fontId="25" fillId="0" borderId="19" xfId="0" applyFont="1" applyBorder="1" applyAlignment="1" applyProtection="1">
      <alignment horizontal="left" vertical="center" wrapText="1"/>
      <protection locked="0" hidden="1"/>
    </xf>
    <xf numFmtId="49" fontId="34" fillId="0" borderId="19" xfId="0" applyNumberFormat="1" applyFont="1" applyBorder="1" applyAlignment="1" applyProtection="1">
      <alignment horizontal="center" vertical="center"/>
      <protection locked="0" hidden="1"/>
    </xf>
    <xf numFmtId="0" fontId="36" fillId="0" borderId="17" xfId="0" applyFont="1" applyBorder="1" applyAlignment="1" applyProtection="1">
      <alignment vertical="center" wrapText="1"/>
      <protection locked="0" hidden="1"/>
    </xf>
    <xf numFmtId="44" fontId="41" fillId="0" borderId="17" xfId="222" applyFont="1" applyFill="1" applyBorder="1" applyAlignment="1" applyProtection="1">
      <alignment vertical="center"/>
      <protection locked="0" hidden="1"/>
    </xf>
    <xf numFmtId="44" fontId="34" fillId="0" borderId="17" xfId="222" applyFont="1" applyFill="1" applyBorder="1" applyAlignment="1" applyProtection="1">
      <alignment horizontal="left" vertical="center"/>
      <protection locked="0" hidden="1"/>
    </xf>
    <xf numFmtId="0" fontId="34" fillId="0" borderId="0" xfId="0" applyFont="1" applyAlignment="1" applyProtection="1">
      <alignment horizontal="center" vertical="center"/>
      <protection locked="0" hidden="1"/>
    </xf>
    <xf numFmtId="0" fontId="0" fillId="0" borderId="31" xfId="0" applyBorder="1" applyAlignment="1" applyProtection="1">
      <alignment horizontal="center"/>
      <protection locked="0" hidden="1"/>
    </xf>
    <xf numFmtId="0" fontId="0" fillId="0" borderId="15" xfId="0" applyBorder="1" applyAlignment="1" applyProtection="1">
      <alignment wrapText="1"/>
      <protection locked="0" hidden="1"/>
    </xf>
    <xf numFmtId="0" fontId="26" fillId="0" borderId="20" xfId="0" applyFont="1" applyBorder="1" applyAlignment="1" applyProtection="1">
      <alignment horizontal="center" vertical="center" wrapText="1"/>
      <protection locked="0" hidden="1"/>
    </xf>
    <xf numFmtId="0" fontId="5" fillId="0" borderId="32" xfId="346" applyNumberFormat="1" applyBorder="1" applyAlignment="1" applyProtection="1">
      <alignment horizontal="center"/>
      <protection locked="0" hidden="1"/>
    </xf>
    <xf numFmtId="37" fontId="5" fillId="0" borderId="17" xfId="346" applyBorder="1" applyAlignment="1" applyProtection="1">
      <alignment wrapText="1"/>
      <protection locked="0" hidden="1"/>
    </xf>
    <xf numFmtId="44" fontId="5" fillId="0" borderId="17" xfId="0" applyNumberFormat="1" applyFont="1" applyBorder="1" applyProtection="1">
      <protection locked="0" hidden="1"/>
    </xf>
    <xf numFmtId="44" fontId="5" fillId="0" borderId="16" xfId="222" applyFont="1" applyFill="1" applyBorder="1" applyAlignment="1" applyProtection="1">
      <protection locked="0" hidden="1"/>
    </xf>
    <xf numFmtId="44" fontId="5" fillId="0" borderId="17" xfId="222" applyFont="1" applyFill="1" applyBorder="1" applyAlignment="1" applyProtection="1">
      <protection locked="0" hidden="1"/>
    </xf>
    <xf numFmtId="0" fontId="43" fillId="0" borderId="0" xfId="0" applyFont="1" applyAlignment="1" applyProtection="1">
      <alignment horizontal="left"/>
      <protection locked="0" hidden="1"/>
    </xf>
    <xf numFmtId="44" fontId="36" fillId="0" borderId="0" xfId="0" applyNumberFormat="1" applyFont="1" applyAlignment="1" applyProtection="1">
      <alignment horizontal="center"/>
      <protection locked="0" hidden="1"/>
    </xf>
    <xf numFmtId="0" fontId="44" fillId="0" borderId="0" xfId="0" applyFont="1" applyAlignment="1" applyProtection="1">
      <alignment horizontal="left"/>
      <protection locked="0" hidden="1"/>
    </xf>
    <xf numFmtId="0" fontId="0" fillId="0" borderId="0" xfId="0" applyAlignment="1" applyProtection="1">
      <alignment horizontal="left"/>
      <protection locked="0" hidden="1"/>
    </xf>
    <xf numFmtId="0" fontId="25" fillId="0" borderId="0" xfId="0" applyFont="1" applyAlignment="1" applyProtection="1">
      <alignment horizontal="left"/>
      <protection locked="0" hidden="1"/>
    </xf>
    <xf numFmtId="0" fontId="48" fillId="0" borderId="0" xfId="0" applyFont="1" applyProtection="1">
      <protection locked="0" hidden="1"/>
    </xf>
    <xf numFmtId="0" fontId="33" fillId="0" borderId="0" xfId="0" applyFont="1" applyProtection="1">
      <protection locked="0" hidden="1"/>
    </xf>
    <xf numFmtId="0" fontId="41" fillId="0" borderId="15" xfId="0" applyFont="1" applyBorder="1" applyAlignment="1" applyProtection="1">
      <alignment vertical="top" wrapText="1"/>
      <protection locked="0" hidden="1"/>
    </xf>
    <xf numFmtId="44" fontId="34" fillId="0" borderId="15" xfId="0" applyNumberFormat="1" applyFont="1" applyBorder="1" applyAlignment="1" applyProtection="1">
      <alignment horizontal="left" vertical="center" wrapText="1"/>
      <protection locked="0" hidden="1"/>
    </xf>
    <xf numFmtId="0" fontId="10" fillId="0" borderId="0" xfId="0" applyFont="1" applyAlignment="1" applyProtection="1">
      <alignment horizontal="center" wrapText="1"/>
      <protection locked="0" hidden="1"/>
    </xf>
    <xf numFmtId="0" fontId="10" fillId="0" borderId="0" xfId="0" applyFont="1" applyAlignment="1" applyProtection="1">
      <alignment horizontal="center"/>
      <protection locked="0" hidden="1"/>
    </xf>
    <xf numFmtId="49" fontId="42" fillId="0" borderId="17" xfId="0" applyNumberFormat="1" applyFont="1" applyBorder="1" applyAlignment="1" applyProtection="1">
      <alignment horizontal="center" vertical="center"/>
      <protection locked="0" hidden="1"/>
    </xf>
    <xf numFmtId="49" fontId="5" fillId="0" borderId="17" xfId="0" applyNumberFormat="1" applyFont="1" applyBorder="1" applyAlignment="1" applyProtection="1">
      <alignment horizontal="center" vertical="center" wrapText="1"/>
      <protection locked="0" hidden="1"/>
    </xf>
    <xf numFmtId="49" fontId="5" fillId="0" borderId="17" xfId="0" applyNumberFormat="1" applyFont="1" applyBorder="1" applyAlignment="1" applyProtection="1">
      <alignment horizontal="center" vertical="center"/>
      <protection locked="0" hidden="1"/>
    </xf>
    <xf numFmtId="1" fontId="5" fillId="0" borderId="17" xfId="0" applyNumberFormat="1" applyFont="1" applyBorder="1" applyAlignment="1" applyProtection="1">
      <alignment horizontal="center" vertical="center"/>
      <protection locked="0" hidden="1"/>
    </xf>
    <xf numFmtId="0" fontId="42" fillId="0" borderId="17" xfId="0" applyFont="1" applyBorder="1" applyAlignment="1" applyProtection="1">
      <alignment horizontal="center" vertical="center"/>
      <protection locked="0" hidden="1"/>
    </xf>
    <xf numFmtId="0" fontId="26" fillId="0" borderId="17" xfId="0" applyFont="1" applyBorder="1" applyAlignment="1" applyProtection="1">
      <alignment horizontal="center" vertical="center" wrapText="1"/>
      <protection locked="0" hidden="1"/>
    </xf>
    <xf numFmtId="169" fontId="42" fillId="0" borderId="17" xfId="0" applyNumberFormat="1" applyFont="1" applyBorder="1" applyAlignment="1" applyProtection="1">
      <alignment horizontal="center" vertical="center"/>
      <protection locked="0" hidden="1"/>
    </xf>
    <xf numFmtId="0" fontId="10" fillId="0" borderId="0" xfId="0" applyFont="1" applyProtection="1">
      <protection locked="0" hidden="1"/>
    </xf>
    <xf numFmtId="0" fontId="34" fillId="0" borderId="0" xfId="0" applyFont="1" applyProtection="1">
      <protection locked="0" hidden="1"/>
    </xf>
    <xf numFmtId="0" fontId="5" fillId="0" borderId="0" xfId="303" applyProtection="1">
      <protection locked="0" hidden="1"/>
    </xf>
    <xf numFmtId="0" fontId="25" fillId="0" borderId="0" xfId="303" applyFont="1" applyAlignment="1" applyProtection="1">
      <alignment wrapText="1"/>
      <protection locked="0" hidden="1"/>
    </xf>
    <xf numFmtId="0" fontId="25" fillId="0" borderId="0" xfId="303" applyFont="1" applyProtection="1">
      <protection locked="0" hidden="1"/>
    </xf>
    <xf numFmtId="44" fontId="25" fillId="0" borderId="0" xfId="303" applyNumberFormat="1" applyFont="1" applyProtection="1">
      <protection locked="0" hidden="1"/>
    </xf>
    <xf numFmtId="0" fontId="5" fillId="0" borderId="25" xfId="303" applyBorder="1" applyProtection="1">
      <protection locked="0" hidden="1"/>
    </xf>
    <xf numFmtId="0" fontId="25" fillId="0" borderId="25" xfId="303" applyFont="1" applyBorder="1" applyAlignment="1" applyProtection="1">
      <alignment wrapText="1"/>
      <protection locked="0" hidden="1"/>
    </xf>
    <xf numFmtId="0" fontId="25" fillId="0" borderId="25" xfId="303" applyFont="1" applyBorder="1" applyProtection="1">
      <protection locked="0" hidden="1"/>
    </xf>
    <xf numFmtId="44" fontId="25" fillId="0" borderId="25" xfId="303" applyNumberFormat="1" applyFont="1" applyBorder="1" applyProtection="1">
      <protection locked="0" hidden="1"/>
    </xf>
    <xf numFmtId="0" fontId="26" fillId="0" borderId="25" xfId="303" applyFont="1" applyBorder="1" applyProtection="1">
      <protection locked="0" hidden="1"/>
    </xf>
    <xf numFmtId="0" fontId="26" fillId="0" borderId="0" xfId="303" applyFont="1" applyProtection="1">
      <protection locked="0" hidden="1"/>
    </xf>
    <xf numFmtId="0" fontId="5" fillId="0" borderId="0" xfId="303" applyAlignment="1" applyProtection="1">
      <alignment vertical="center"/>
      <protection locked="0" hidden="1"/>
    </xf>
    <xf numFmtId="0" fontId="5" fillId="0" borderId="26" xfId="303" applyBorder="1" applyProtection="1">
      <protection locked="0" hidden="1"/>
    </xf>
    <xf numFmtId="0" fontId="30" fillId="0" borderId="0" xfId="303" applyFont="1" applyAlignment="1" applyProtection="1">
      <alignment horizontal="center"/>
      <protection locked="0" hidden="1"/>
    </xf>
    <xf numFmtId="0" fontId="31" fillId="0" borderId="0" xfId="303" applyFont="1" applyAlignment="1" applyProtection="1">
      <alignment horizontal="center"/>
      <protection locked="0" hidden="1"/>
    </xf>
    <xf numFmtId="0" fontId="25" fillId="0" borderId="0" xfId="303" applyFont="1" applyAlignment="1" applyProtection="1">
      <alignment horizontal="right"/>
      <protection locked="0" hidden="1"/>
    </xf>
    <xf numFmtId="0" fontId="5" fillId="0" borderId="0" xfId="303" applyProtection="1">
      <protection hidden="1"/>
    </xf>
    <xf numFmtId="0" fontId="48" fillId="0" borderId="0" xfId="303" applyFont="1" applyProtection="1">
      <protection locked="0" hidden="1"/>
    </xf>
    <xf numFmtId="8" fontId="26" fillId="0" borderId="0" xfId="303" applyNumberFormat="1" applyFont="1" applyAlignment="1" applyProtection="1">
      <alignment horizontal="left"/>
      <protection locked="0" hidden="1"/>
    </xf>
    <xf numFmtId="0" fontId="33" fillId="0" borderId="0" xfId="303" applyFont="1" applyProtection="1">
      <protection locked="0" hidden="1"/>
    </xf>
    <xf numFmtId="0" fontId="30" fillId="0" borderId="0" xfId="303" applyFont="1" applyAlignment="1" applyProtection="1">
      <alignment horizontal="right"/>
      <protection locked="0" hidden="1"/>
    </xf>
    <xf numFmtId="0" fontId="25" fillId="0" borderId="0" xfId="303" applyFont="1" applyAlignment="1" applyProtection="1">
      <alignment horizontal="right" vertical="top"/>
      <protection locked="0" hidden="1"/>
    </xf>
    <xf numFmtId="0" fontId="32" fillId="0" borderId="0" xfId="303" applyFont="1" applyAlignment="1" applyProtection="1">
      <alignment horizontal="center" vertical="center" wrapText="1"/>
      <protection locked="0" hidden="1"/>
    </xf>
    <xf numFmtId="12" fontId="26" fillId="0" borderId="0" xfId="303" applyNumberFormat="1" applyFont="1" applyAlignment="1" applyProtection="1">
      <alignment horizontal="left"/>
      <protection locked="0" hidden="1"/>
    </xf>
    <xf numFmtId="0" fontId="26" fillId="0" borderId="22" xfId="303" applyFont="1" applyBorder="1" applyProtection="1">
      <protection locked="0" hidden="1"/>
    </xf>
    <xf numFmtId="8" fontId="26" fillId="0" borderId="22" xfId="303" applyNumberFormat="1" applyFont="1" applyBorder="1" applyAlignment="1" applyProtection="1">
      <alignment horizontal="left"/>
      <protection locked="0" hidden="1"/>
    </xf>
    <xf numFmtId="0" fontId="26" fillId="0" borderId="28" xfId="303" applyFont="1" applyBorder="1" applyProtection="1">
      <protection locked="0" hidden="1"/>
    </xf>
    <xf numFmtId="0" fontId="26" fillId="0" borderId="0" xfId="303" applyFont="1" applyAlignment="1" applyProtection="1">
      <alignment horizontal="left"/>
      <protection locked="0" hidden="1"/>
    </xf>
    <xf numFmtId="0" fontId="31" fillId="0" borderId="0" xfId="303" applyFont="1" applyProtection="1">
      <protection locked="0" hidden="1"/>
    </xf>
    <xf numFmtId="0" fontId="37" fillId="0" borderId="0" xfId="303" applyFont="1" applyAlignment="1" applyProtection="1">
      <alignment horizontal="right"/>
      <protection locked="0" hidden="1"/>
    </xf>
    <xf numFmtId="8" fontId="37" fillId="0" borderId="0" xfId="303" applyNumberFormat="1" applyFont="1" applyAlignment="1" applyProtection="1">
      <alignment horizontal="right"/>
      <protection locked="0" hidden="1"/>
    </xf>
    <xf numFmtId="0" fontId="5" fillId="0" borderId="0" xfId="303" applyAlignment="1" applyProtection="1">
      <alignment horizontal="right"/>
      <protection locked="0" hidden="1"/>
    </xf>
    <xf numFmtId="8" fontId="37" fillId="0" borderId="0" xfId="303" applyNumberFormat="1" applyFont="1" applyAlignment="1" applyProtection="1">
      <alignment horizontal="left"/>
      <protection locked="0" hidden="1"/>
    </xf>
    <xf numFmtId="0" fontId="38" fillId="0" borderId="0" xfId="303" applyFont="1" applyAlignment="1" applyProtection="1">
      <alignment horizontal="center" vertical="center" wrapText="1"/>
      <protection locked="0" hidden="1"/>
    </xf>
    <xf numFmtId="0" fontId="40" fillId="0" borderId="17" xfId="303" applyFont="1" applyBorder="1" applyAlignment="1" applyProtection="1">
      <alignment horizontal="center" vertical="center" wrapText="1"/>
      <protection locked="0" hidden="1"/>
    </xf>
    <xf numFmtId="0" fontId="25" fillId="0" borderId="17" xfId="303" applyFont="1" applyBorder="1" applyAlignment="1" applyProtection="1">
      <alignment horizontal="center" vertical="center" wrapText="1"/>
      <protection locked="0" hidden="1"/>
    </xf>
    <xf numFmtId="0" fontId="26" fillId="0" borderId="0" xfId="303" applyFont="1" applyAlignment="1" applyProtection="1">
      <alignment horizontal="center" vertical="center" wrapText="1"/>
      <protection locked="0" hidden="1"/>
    </xf>
    <xf numFmtId="44" fontId="34" fillId="0" borderId="15" xfId="303" applyNumberFormat="1" applyFont="1" applyBorder="1" applyAlignment="1" applyProtection="1">
      <alignment horizontal="left" vertical="center" wrapText="1"/>
      <protection locked="0" hidden="1"/>
    </xf>
    <xf numFmtId="44" fontId="34" fillId="0" borderId="17" xfId="223" applyFont="1" applyFill="1" applyBorder="1" applyAlignment="1" applyProtection="1">
      <alignment horizontal="right"/>
      <protection locked="0" hidden="1"/>
    </xf>
    <xf numFmtId="44" fontId="34" fillId="0" borderId="17" xfId="223" applyFont="1" applyFill="1" applyBorder="1" applyAlignment="1" applyProtection="1">
      <protection locked="0" hidden="1"/>
    </xf>
    <xf numFmtId="44" fontId="34" fillId="0" borderId="17" xfId="223" applyFont="1" applyFill="1" applyBorder="1" applyAlignment="1" applyProtection="1">
      <alignment horizontal="center" vertical="center"/>
      <protection locked="0" hidden="1"/>
    </xf>
    <xf numFmtId="0" fontId="34" fillId="0" borderId="0" xfId="303" applyFont="1" applyAlignment="1" applyProtection="1">
      <alignment horizontal="center" vertical="center"/>
      <protection locked="0" hidden="1"/>
    </xf>
    <xf numFmtId="0" fontId="5" fillId="0" borderId="17" xfId="303" applyBorder="1" applyAlignment="1" applyProtection="1">
      <alignment horizontal="center"/>
      <protection locked="0" hidden="1"/>
    </xf>
    <xf numFmtId="0" fontId="5" fillId="0" borderId="17" xfId="303" applyBorder="1" applyAlignment="1" applyProtection="1">
      <alignment wrapText="1"/>
      <protection locked="0" hidden="1"/>
    </xf>
    <xf numFmtId="166" fontId="5" fillId="0" borderId="17" xfId="346" applyNumberFormat="1" applyBorder="1" applyProtection="1">
      <protection locked="0" hidden="1"/>
    </xf>
    <xf numFmtId="164" fontId="5" fillId="0" borderId="17" xfId="223" applyNumberFormat="1" applyFont="1" applyFill="1" applyBorder="1" applyAlignment="1" applyProtection="1">
      <alignment horizontal="right"/>
      <protection locked="0" hidden="1"/>
    </xf>
    <xf numFmtId="44" fontId="5" fillId="0" borderId="17" xfId="223" applyFont="1" applyFill="1" applyBorder="1" applyAlignment="1" applyProtection="1">
      <alignment horizontal="right"/>
      <protection locked="0" hidden="1"/>
    </xf>
    <xf numFmtId="0" fontId="5" fillId="0" borderId="0" xfId="303" applyAlignment="1" applyProtection="1">
      <alignment horizontal="center" wrapText="1"/>
      <protection locked="0" hidden="1"/>
    </xf>
    <xf numFmtId="0" fontId="5" fillId="0" borderId="31" xfId="303" applyBorder="1" applyAlignment="1" applyProtection="1">
      <alignment horizontal="center"/>
      <protection locked="0" hidden="1"/>
    </xf>
    <xf numFmtId="0" fontId="5" fillId="0" borderId="15" xfId="303" applyBorder="1" applyAlignment="1" applyProtection="1">
      <alignment horizontal="left"/>
      <protection locked="0" hidden="1"/>
    </xf>
    <xf numFmtId="44" fontId="5" fillId="0" borderId="15" xfId="303" applyNumberFormat="1" applyBorder="1" applyAlignment="1" applyProtection="1">
      <alignment vertical="top"/>
      <protection locked="0" hidden="1"/>
    </xf>
    <xf numFmtId="164" fontId="5" fillId="0" borderId="15" xfId="223" applyNumberFormat="1" applyFont="1" applyFill="1" applyBorder="1" applyAlignment="1" applyProtection="1">
      <alignment horizontal="right"/>
      <protection locked="0" hidden="1"/>
    </xf>
    <xf numFmtId="0" fontId="5" fillId="0" borderId="20" xfId="303" applyBorder="1" applyAlignment="1" applyProtection="1">
      <alignment horizontal="center" wrapText="1"/>
      <protection locked="0" hidden="1"/>
    </xf>
    <xf numFmtId="0" fontId="5" fillId="0" borderId="18" xfId="303" applyBorder="1" applyAlignment="1" applyProtection="1">
      <alignment horizontal="center" vertical="center"/>
      <protection locked="0" hidden="1"/>
    </xf>
    <xf numFmtId="0" fontId="5" fillId="0" borderId="18" xfId="303" applyBorder="1" applyAlignment="1" applyProtection="1">
      <alignment horizontal="left"/>
      <protection locked="0" hidden="1"/>
    </xf>
    <xf numFmtId="0" fontId="5" fillId="0" borderId="18" xfId="303" applyBorder="1" applyAlignment="1" applyProtection="1">
      <alignment vertical="top"/>
      <protection locked="0" hidden="1"/>
    </xf>
    <xf numFmtId="44" fontId="5" fillId="0" borderId="18" xfId="303" applyNumberFormat="1" applyBorder="1" applyAlignment="1" applyProtection="1">
      <alignment vertical="top"/>
      <protection locked="0" hidden="1"/>
    </xf>
    <xf numFmtId="164" fontId="5" fillId="0" borderId="18" xfId="223" applyNumberFormat="1" applyFont="1" applyFill="1" applyBorder="1" applyAlignment="1" applyProtection="1">
      <alignment horizontal="right"/>
      <protection locked="0" hidden="1"/>
    </xf>
    <xf numFmtId="0" fontId="5" fillId="0" borderId="19" xfId="303" applyBorder="1" applyAlignment="1" applyProtection="1">
      <alignment horizontal="center" vertical="center"/>
      <protection locked="0" hidden="1"/>
    </xf>
    <xf numFmtId="44" fontId="5" fillId="0" borderId="18" xfId="223" applyFont="1" applyFill="1" applyBorder="1" applyAlignment="1" applyProtection="1">
      <alignment horizontal="right"/>
      <protection locked="0" hidden="1"/>
    </xf>
    <xf numFmtId="0" fontId="5" fillId="0" borderId="0" xfId="303" applyAlignment="1" applyProtection="1">
      <alignment horizontal="center"/>
      <protection locked="0" hidden="1"/>
    </xf>
    <xf numFmtId="49" fontId="42" fillId="0" borderId="17" xfId="303" applyNumberFormat="1" applyFont="1" applyBorder="1" applyAlignment="1" applyProtection="1">
      <alignment horizontal="center" vertical="center"/>
      <protection locked="0" hidden="1"/>
    </xf>
    <xf numFmtId="49" fontId="5" fillId="0" borderId="17" xfId="303" applyNumberFormat="1" applyBorder="1" applyAlignment="1" applyProtection="1">
      <alignment horizontal="center" vertical="center" wrapText="1"/>
      <protection locked="0" hidden="1"/>
    </xf>
    <xf numFmtId="49" fontId="5" fillId="0" borderId="17" xfId="303" applyNumberForma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44" fontId="42" fillId="0" borderId="17" xfId="303" applyNumberFormat="1" applyFont="1" applyBorder="1" applyProtection="1">
      <protection locked="0" hidden="1"/>
    </xf>
    <xf numFmtId="44" fontId="5" fillId="0" borderId="16" xfId="303" applyNumberFormat="1" applyBorder="1" applyProtection="1">
      <protection locked="0" hidden="1"/>
    </xf>
    <xf numFmtId="44" fontId="42" fillId="0" borderId="17" xfId="303" applyNumberFormat="1" applyFont="1" applyBorder="1" applyAlignment="1" applyProtection="1">
      <alignment horizontal="right"/>
      <protection locked="0" hidden="1"/>
    </xf>
    <xf numFmtId="1" fontId="5" fillId="0" borderId="17" xfId="303" applyNumberFormat="1" applyBorder="1" applyAlignment="1" applyProtection="1">
      <alignment horizontal="center" vertical="center"/>
      <protection locked="0" hidden="1"/>
    </xf>
    <xf numFmtId="44" fontId="42" fillId="0" borderId="17" xfId="342" applyNumberFormat="1" applyFont="1" applyBorder="1" applyProtection="1">
      <protection locked="0" hidden="1"/>
    </xf>
    <xf numFmtId="0" fontId="42" fillId="0" borderId="17" xfId="303" applyFont="1" applyBorder="1" applyAlignment="1" applyProtection="1">
      <alignment horizontal="center" vertical="center"/>
      <protection locked="0" hidden="1"/>
    </xf>
    <xf numFmtId="8" fontId="5" fillId="0" borderId="17" xfId="303" applyNumberFormat="1" applyBorder="1" applyProtection="1">
      <protection locked="0" hidden="1"/>
    </xf>
    <xf numFmtId="169" fontId="42" fillId="0" borderId="17" xfId="303" applyNumberFormat="1" applyFont="1" applyBorder="1" applyAlignment="1" applyProtection="1">
      <alignment horizontal="center" vertical="center"/>
      <protection locked="0" hidden="1"/>
    </xf>
    <xf numFmtId="44" fontId="36" fillId="0" borderId="0" xfId="303" applyNumberFormat="1" applyFont="1" applyAlignment="1" applyProtection="1">
      <alignment horizontal="center"/>
      <protection locked="0" hidden="1"/>
    </xf>
    <xf numFmtId="0" fontId="36" fillId="0" borderId="0" xfId="303" applyFont="1" applyAlignment="1" applyProtection="1">
      <alignment horizontal="center"/>
      <protection locked="0" hidden="1"/>
    </xf>
    <xf numFmtId="164" fontId="5" fillId="0" borderId="0" xfId="223" applyNumberFormat="1" applyFont="1" applyAlignment="1" applyProtection="1">
      <protection locked="0" hidden="1"/>
    </xf>
    <xf numFmtId="44" fontId="5" fillId="0" borderId="0" xfId="303" applyNumberFormat="1" applyAlignment="1" applyProtection="1">
      <alignment horizontal="center"/>
      <protection locked="0" hidden="1"/>
    </xf>
    <xf numFmtId="0" fontId="34" fillId="0" borderId="0" xfId="303" applyFont="1" applyProtection="1">
      <protection locked="0" hidden="1"/>
    </xf>
    <xf numFmtId="164" fontId="5" fillId="0" borderId="0" xfId="223" applyNumberFormat="1" applyProtection="1">
      <protection locked="0" hidden="1"/>
    </xf>
    <xf numFmtId="0" fontId="42" fillId="0" borderId="34" xfId="347" applyFont="1" applyBorder="1" applyAlignment="1" applyProtection="1">
      <alignment vertical="top" wrapText="1"/>
      <protection locked="0" hidden="1"/>
    </xf>
    <xf numFmtId="44" fontId="42" fillId="0" borderId="34" xfId="347" applyNumberFormat="1" applyFont="1" applyBorder="1" applyProtection="1">
      <protection locked="0" hidden="1"/>
    </xf>
    <xf numFmtId="0" fontId="42" fillId="0" borderId="32" xfId="347" applyFont="1" applyBorder="1" applyAlignment="1" applyProtection="1">
      <alignment horizontal="center" vertical="top" wrapText="1"/>
      <protection locked="0" hidden="1"/>
    </xf>
    <xf numFmtId="0" fontId="42" fillId="0" borderId="32" xfId="347" applyFont="1" applyBorder="1" applyAlignment="1" applyProtection="1">
      <alignment vertical="top" wrapText="1"/>
      <protection locked="0" hidden="1"/>
    </xf>
    <xf numFmtId="44" fontId="42" fillId="0" borderId="32" xfId="347" applyNumberFormat="1" applyFont="1" applyBorder="1" applyProtection="1">
      <protection locked="0" hidden="1"/>
    </xf>
    <xf numFmtId="1" fontId="42" fillId="0" borderId="32" xfId="347" applyNumberFormat="1" applyFont="1" applyBorder="1" applyAlignment="1" applyProtection="1">
      <alignment horizontal="center" vertical="top" wrapText="1"/>
      <protection locked="0" hidden="1"/>
    </xf>
    <xf numFmtId="49" fontId="42" fillId="0" borderId="32" xfId="347" applyNumberFormat="1" applyFont="1" applyBorder="1" applyAlignment="1" applyProtection="1">
      <alignment horizontal="center" vertical="top" wrapText="1"/>
      <protection locked="0" hidden="1"/>
    </xf>
    <xf numFmtId="49" fontId="34" fillId="0" borderId="15" xfId="303" applyNumberFormat="1" applyFont="1" applyBorder="1" applyAlignment="1" applyProtection="1">
      <alignment horizontal="center" wrapText="1"/>
      <protection locked="0" hidden="1"/>
    </xf>
    <xf numFmtId="0" fontId="41" fillId="0" borderId="15" xfId="303" applyFont="1" applyBorder="1" applyAlignment="1" applyProtection="1">
      <alignment horizontal="left" wrapText="1"/>
      <protection locked="0" hidden="1"/>
    </xf>
    <xf numFmtId="44" fontId="42" fillId="0" borderId="16" xfId="303" applyNumberFormat="1" applyFont="1" applyBorder="1" applyAlignment="1" applyProtection="1">
      <alignment horizontal="right"/>
      <protection locked="0" hidden="1"/>
    </xf>
    <xf numFmtId="44" fontId="5" fillId="0" borderId="24" xfId="303" applyNumberFormat="1" applyBorder="1" applyProtection="1">
      <protection locked="0" hidden="1"/>
    </xf>
    <xf numFmtId="0" fontId="26" fillId="0" borderId="17" xfId="0" applyFont="1" applyBorder="1" applyAlignment="1" applyProtection="1">
      <alignment horizontal="center" vertical="center"/>
      <protection locked="0" hidden="1"/>
    </xf>
    <xf numFmtId="49" fontId="5" fillId="0" borderId="17" xfId="0" applyNumberFormat="1" applyFont="1" applyBorder="1" applyAlignment="1" applyProtection="1">
      <alignment horizontal="center"/>
      <protection locked="0" hidden="1"/>
    </xf>
    <xf numFmtId="0" fontId="0" fillId="0" borderId="25" xfId="0" applyBorder="1" applyAlignment="1" applyProtection="1">
      <alignment horizontal="center"/>
      <protection locked="0" hidden="1"/>
    </xf>
    <xf numFmtId="0" fontId="30" fillId="0" borderId="0" xfId="0" applyFont="1" applyAlignment="1" applyProtection="1">
      <alignment horizontal="left"/>
      <protection locked="0" hidden="1"/>
    </xf>
    <xf numFmtId="0" fontId="25" fillId="0" borderId="20" xfId="0" applyFont="1" applyBorder="1" applyAlignment="1" applyProtection="1">
      <alignment horizontal="center" vertical="center" wrapText="1"/>
      <protection locked="0" hidden="1"/>
    </xf>
    <xf numFmtId="44" fontId="34" fillId="0" borderId="17" xfId="222" applyFont="1" applyFill="1" applyBorder="1" applyAlignment="1" applyProtection="1">
      <alignment vertical="center"/>
      <protection locked="0" hidden="1"/>
    </xf>
    <xf numFmtId="44" fontId="34" fillId="0" borderId="17" xfId="0" applyNumberFormat="1" applyFont="1" applyBorder="1" applyAlignment="1" applyProtection="1">
      <alignment horizontal="center" vertical="center"/>
      <protection locked="0" hidden="1"/>
    </xf>
    <xf numFmtId="44" fontId="34" fillId="0" borderId="20" xfId="0" applyNumberFormat="1" applyFont="1" applyBorder="1" applyAlignment="1" applyProtection="1">
      <alignment horizontal="center" vertical="center"/>
      <protection locked="0" hidden="1"/>
    </xf>
    <xf numFmtId="0" fontId="31" fillId="0" borderId="17" xfId="0" applyFont="1" applyBorder="1" applyProtection="1">
      <protection locked="0" hidden="1"/>
    </xf>
    <xf numFmtId="0" fontId="0" fillId="0" borderId="19" xfId="0" applyBorder="1" applyAlignment="1" applyProtection="1">
      <alignment horizontal="center"/>
      <protection locked="0" hidden="1"/>
    </xf>
    <xf numFmtId="0" fontId="0" fillId="0" borderId="17" xfId="0" applyBorder="1" applyProtection="1">
      <protection locked="0" hidden="1"/>
    </xf>
    <xf numFmtId="0" fontId="0" fillId="0" borderId="20" xfId="0" applyBorder="1" applyProtection="1">
      <protection locked="0" hidden="1"/>
    </xf>
    <xf numFmtId="44" fontId="0" fillId="0" borderId="18" xfId="0" applyNumberFormat="1" applyBorder="1" applyAlignment="1" applyProtection="1">
      <alignment horizontal="center" vertical="center"/>
      <protection locked="0" hidden="1"/>
    </xf>
    <xf numFmtId="44" fontId="0" fillId="0" borderId="19" xfId="0" applyNumberFormat="1" applyBorder="1" applyAlignment="1" applyProtection="1">
      <alignment horizontal="center" vertical="center"/>
      <protection locked="0" hidden="1"/>
    </xf>
    <xf numFmtId="4" fontId="26" fillId="0" borderId="21" xfId="0" applyNumberFormat="1" applyFont="1" applyBorder="1" applyAlignment="1" applyProtection="1">
      <alignment horizontal="center" vertical="center"/>
      <protection locked="0" hidden="1"/>
    </xf>
    <xf numFmtId="4" fontId="26" fillId="0" borderId="0" xfId="0" applyNumberFormat="1" applyFont="1" applyAlignment="1" applyProtection="1">
      <alignment horizontal="center" vertical="center"/>
      <protection locked="0" hidden="1"/>
    </xf>
    <xf numFmtId="165" fontId="34" fillId="0" borderId="22" xfId="0" applyNumberFormat="1" applyFont="1" applyBorder="1" applyAlignment="1" applyProtection="1">
      <alignment horizontal="center"/>
      <protection locked="0" hidden="1"/>
    </xf>
    <xf numFmtId="44" fontId="5" fillId="0" borderId="16" xfId="0" applyNumberFormat="1" applyFont="1" applyBorder="1" applyProtection="1">
      <protection locked="0" hidden="1"/>
    </xf>
    <xf numFmtId="44" fontId="5" fillId="0" borderId="24" xfId="0" applyNumberFormat="1" applyFont="1" applyBorder="1" applyProtection="1">
      <protection locked="0" hidden="1"/>
    </xf>
    <xf numFmtId="49" fontId="5" fillId="0" borderId="17" xfId="0" applyNumberFormat="1" applyFont="1" applyBorder="1" applyAlignment="1" applyProtection="1">
      <alignment horizontal="left" wrapText="1"/>
      <protection locked="0" hidden="1"/>
    </xf>
    <xf numFmtId="44" fontId="42" fillId="0" borderId="16" xfId="0" applyNumberFormat="1" applyFont="1" applyBorder="1" applyAlignment="1" applyProtection="1">
      <alignment horizontal="right"/>
      <protection locked="0" hidden="1"/>
    </xf>
    <xf numFmtId="0" fontId="5" fillId="0" borderId="17" xfId="0" applyFont="1" applyBorder="1" applyProtection="1">
      <protection locked="0" hidden="1"/>
    </xf>
    <xf numFmtId="0" fontId="0" fillId="0" borderId="17" xfId="0" applyBorder="1" applyAlignment="1" applyProtection="1">
      <alignment wrapText="1"/>
      <protection locked="0" hidden="1"/>
    </xf>
    <xf numFmtId="0" fontId="5" fillId="0" borderId="0" xfId="0" applyFont="1" applyAlignment="1" applyProtection="1">
      <alignment horizontal="left"/>
      <protection locked="0" hidden="1"/>
    </xf>
    <xf numFmtId="44" fontId="34" fillId="0" borderId="0" xfId="0" applyNumberFormat="1" applyFont="1" applyAlignment="1" applyProtection="1">
      <alignment horizontal="center"/>
      <protection locked="0" hidden="1"/>
    </xf>
    <xf numFmtId="0" fontId="26" fillId="0" borderId="0" xfId="374" applyFont="1" applyAlignment="1" applyProtection="1">
      <alignment horizontal="left" wrapText="1"/>
      <protection locked="0" hidden="1"/>
    </xf>
    <xf numFmtId="3" fontId="26" fillId="0" borderId="0" xfId="374" applyNumberFormat="1" applyFont="1" applyAlignment="1" applyProtection="1">
      <alignment horizontal="left"/>
      <protection locked="0" hidden="1"/>
    </xf>
    <xf numFmtId="0" fontId="28" fillId="0" borderId="0" xfId="374" applyFont="1" applyProtection="1">
      <protection locked="0" hidden="1"/>
    </xf>
    <xf numFmtId="0" fontId="34" fillId="0" borderId="17" xfId="374" applyFont="1" applyBorder="1" applyAlignment="1" applyProtection="1">
      <alignment horizontal="center"/>
      <protection locked="0" hidden="1"/>
    </xf>
    <xf numFmtId="169" fontId="70" fillId="0" borderId="0" xfId="374" applyNumberFormat="1" applyFont="1" applyAlignment="1" applyProtection="1">
      <alignment wrapText="1"/>
      <protection locked="0" hidden="1"/>
    </xf>
    <xf numFmtId="44" fontId="34" fillId="0" borderId="17" xfId="374" applyNumberFormat="1" applyFont="1" applyBorder="1" applyAlignment="1" applyProtection="1">
      <alignment wrapText="1"/>
      <protection locked="0" hidden="1"/>
    </xf>
    <xf numFmtId="0" fontId="5" fillId="0" borderId="0" xfId="0" applyFont="1" applyAlignment="1" applyProtection="1">
      <alignment horizontal="center"/>
      <protection locked="0" hidden="1"/>
    </xf>
    <xf numFmtId="44" fontId="5" fillId="0" borderId="17" xfId="325" applyNumberFormat="1" applyFont="1" applyBorder="1" applyProtection="1">
      <protection locked="0" hidden="1"/>
    </xf>
    <xf numFmtId="44" fontId="0" fillId="0" borderId="0" xfId="0" applyNumberFormat="1" applyAlignment="1" applyProtection="1">
      <alignment horizontal="center"/>
      <protection locked="0" hidden="1"/>
    </xf>
    <xf numFmtId="0" fontId="26" fillId="0" borderId="27" xfId="0" applyFont="1" applyBorder="1" applyProtection="1">
      <protection locked="0" hidden="1"/>
    </xf>
    <xf numFmtId="0" fontId="25" fillId="0" borderId="19" xfId="0" applyFont="1" applyBorder="1" applyAlignment="1" applyProtection="1">
      <alignment horizontal="center" vertical="center" wrapText="1"/>
      <protection locked="0" hidden="1"/>
    </xf>
    <xf numFmtId="0" fontId="34" fillId="0" borderId="19" xfId="0" applyFont="1" applyBorder="1" applyAlignment="1" applyProtection="1">
      <alignment horizontal="center"/>
      <protection locked="0" hidden="1"/>
    </xf>
    <xf numFmtId="0" fontId="5" fillId="0" borderId="19" xfId="0" applyFont="1" applyBorder="1" applyAlignment="1" applyProtection="1">
      <alignment horizontal="center"/>
      <protection locked="0" hidden="1"/>
    </xf>
    <xf numFmtId="0" fontId="46" fillId="0" borderId="0" xfId="0" applyFont="1" applyProtection="1">
      <protection locked="0" hidden="1"/>
    </xf>
    <xf numFmtId="0" fontId="25" fillId="0" borderId="17" xfId="0" applyFont="1" applyBorder="1" applyAlignment="1" applyProtection="1">
      <alignment horizontal="left" vertical="center" wrapText="1"/>
      <protection locked="0" hidden="1"/>
    </xf>
    <xf numFmtId="49" fontId="41" fillId="0" borderId="17" xfId="374" applyNumberFormat="1" applyFont="1" applyBorder="1" applyAlignment="1" applyProtection="1">
      <alignment horizontal="center" vertical="center"/>
      <protection locked="0" hidden="1"/>
    </xf>
    <xf numFmtId="169" fontId="41" fillId="0" borderId="17" xfId="374" applyNumberFormat="1" applyFont="1" applyBorder="1" applyAlignment="1" applyProtection="1">
      <alignment horizontal="left" vertical="center" wrapText="1"/>
      <protection locked="0" hidden="1"/>
    </xf>
    <xf numFmtId="44" fontId="41" fillId="0" borderId="17" xfId="374" applyNumberFormat="1" applyFont="1" applyBorder="1" applyAlignment="1" applyProtection="1">
      <alignment horizontal="left" vertical="center" wrapText="1"/>
      <protection locked="0" hidden="1"/>
    </xf>
    <xf numFmtId="49" fontId="31" fillId="0" borderId="17" xfId="0" applyNumberFormat="1" applyFont="1" applyBorder="1" applyAlignment="1" applyProtection="1">
      <alignment horizontal="center"/>
      <protection locked="0" hidden="1"/>
    </xf>
    <xf numFmtId="8" fontId="5" fillId="0" borderId="17" xfId="0" applyNumberFormat="1" applyFont="1" applyBorder="1" applyProtection="1">
      <protection locked="0" hidden="1"/>
    </xf>
    <xf numFmtId="0" fontId="5" fillId="0" borderId="0" xfId="0" applyFont="1" applyProtection="1">
      <protection locked="0" hidden="1"/>
    </xf>
    <xf numFmtId="49" fontId="34" fillId="0" borderId="15" xfId="0" applyNumberFormat="1" applyFont="1" applyBorder="1" applyAlignment="1" applyProtection="1">
      <alignment horizontal="center" vertical="top" wrapText="1"/>
      <protection locked="0" hidden="1"/>
    </xf>
    <xf numFmtId="0" fontId="5" fillId="0" borderId="17" xfId="338" applyFont="1" applyBorder="1" applyAlignment="1" applyProtection="1">
      <alignment horizontal="center"/>
      <protection locked="0" hidden="1"/>
    </xf>
    <xf numFmtId="0" fontId="42" fillId="0" borderId="30" xfId="0" applyFont="1" applyBorder="1" applyAlignment="1">
      <alignment horizontal="center"/>
    </xf>
    <xf numFmtId="44" fontId="5" fillId="0" borderId="17" xfId="326" applyNumberFormat="1" applyFont="1" applyBorder="1" applyProtection="1">
      <protection locked="0" hidden="1"/>
    </xf>
    <xf numFmtId="0" fontId="5" fillId="0" borderId="17" xfId="338" applyFont="1" applyBorder="1" applyAlignment="1" applyProtection="1">
      <alignment wrapText="1"/>
      <protection locked="0" hidden="1"/>
    </xf>
    <xf numFmtId="44" fontId="5" fillId="0" borderId="17" xfId="223" applyFont="1" applyFill="1" applyBorder="1" applyAlignment="1" applyProtection="1">
      <protection hidden="1"/>
    </xf>
    <xf numFmtId="44" fontId="5" fillId="0" borderId="16" xfId="223" applyFont="1" applyFill="1" applyBorder="1" applyAlignment="1" applyProtection="1">
      <protection hidden="1"/>
    </xf>
    <xf numFmtId="0" fontId="42" fillId="0" borderId="17" xfId="0" applyFont="1" applyBorder="1" applyAlignment="1">
      <alignment horizontal="center"/>
    </xf>
    <xf numFmtId="0" fontId="5" fillId="0" borderId="30" xfId="0" applyFont="1" applyBorder="1" applyAlignment="1" applyProtection="1">
      <alignment horizontal="center"/>
      <protection locked="0" hidden="1"/>
    </xf>
    <xf numFmtId="0" fontId="5" fillId="0" borderId="17" xfId="325" applyFont="1" applyBorder="1" applyAlignment="1" applyProtection="1">
      <alignment horizontal="center" vertical="top" wrapText="1"/>
      <protection locked="0" hidden="1"/>
    </xf>
    <xf numFmtId="0" fontId="5" fillId="0" borderId="35" xfId="0" applyFont="1" applyBorder="1" applyAlignment="1" applyProtection="1">
      <alignment horizontal="center"/>
      <protection locked="0" hidden="1"/>
    </xf>
    <xf numFmtId="0" fontId="5" fillId="0" borderId="36" xfId="0" applyFont="1" applyBorder="1" applyAlignment="1" applyProtection="1">
      <alignment horizontal="center"/>
      <protection locked="0" hidden="1"/>
    </xf>
    <xf numFmtId="0" fontId="5" fillId="0" borderId="17" xfId="325" applyFont="1" applyBorder="1" applyAlignment="1" applyProtection="1">
      <alignment horizontal="left" vertical="top" wrapText="1"/>
      <protection locked="0" hidden="1"/>
    </xf>
    <xf numFmtId="0" fontId="5" fillId="0" borderId="37" xfId="0" applyFont="1" applyBorder="1" applyAlignment="1" applyProtection="1">
      <alignment wrapText="1"/>
      <protection locked="0" hidden="1"/>
    </xf>
    <xf numFmtId="0" fontId="5" fillId="0" borderId="38" xfId="0" applyFont="1" applyBorder="1" applyAlignment="1" applyProtection="1">
      <alignment wrapText="1"/>
      <protection locked="0" hidden="1"/>
    </xf>
    <xf numFmtId="44" fontId="5" fillId="0" borderId="39" xfId="0" applyNumberFormat="1" applyFont="1" applyBorder="1" applyProtection="1">
      <protection locked="0" hidden="1"/>
    </xf>
    <xf numFmtId="0" fontId="5" fillId="0" borderId="0" xfId="0" applyFont="1"/>
    <xf numFmtId="0" fontId="26" fillId="0" borderId="0" xfId="344" applyFont="1" applyProtection="1">
      <protection locked="0" hidden="1"/>
    </xf>
    <xf numFmtId="12" fontId="26" fillId="0" borderId="0" xfId="344" applyNumberFormat="1" applyFont="1" applyAlignment="1" applyProtection="1">
      <alignment horizontal="left"/>
      <protection locked="0" hidden="1"/>
    </xf>
    <xf numFmtId="44" fontId="34" fillId="0" borderId="17" xfId="223" applyFont="1" applyFill="1" applyBorder="1" applyAlignment="1" applyProtection="1">
      <alignment horizontal="center"/>
      <protection hidden="1"/>
    </xf>
    <xf numFmtId="49" fontId="42" fillId="0" borderId="15" xfId="223" applyNumberFormat="1" applyFont="1" applyFill="1" applyBorder="1" applyAlignment="1" applyProtection="1">
      <alignment horizontal="center"/>
      <protection locked="0" hidden="1"/>
    </xf>
    <xf numFmtId="0" fontId="5" fillId="0" borderId="15" xfId="348" applyFont="1" applyBorder="1" applyAlignment="1" applyProtection="1">
      <alignment horizontal="left"/>
      <protection locked="0" hidden="1"/>
    </xf>
    <xf numFmtId="44" fontId="5" fillId="0" borderId="15" xfId="348" applyNumberFormat="1" applyFont="1" applyBorder="1" applyAlignment="1" applyProtection="1">
      <alignment vertical="top"/>
      <protection locked="0" hidden="1"/>
    </xf>
    <xf numFmtId="0" fontId="5" fillId="0" borderId="0" xfId="348" applyFont="1" applyAlignment="1" applyProtection="1">
      <alignment horizontal="center"/>
      <protection locked="0" hidden="1"/>
    </xf>
    <xf numFmtId="0" fontId="5" fillId="0" borderId="0" xfId="344" applyProtection="1">
      <protection locked="0" hidden="1"/>
    </xf>
    <xf numFmtId="49" fontId="42" fillId="0" borderId="17" xfId="223" applyNumberFormat="1" applyFont="1" applyFill="1" applyBorder="1" applyAlignment="1" applyProtection="1">
      <alignment horizontal="center" vertical="center"/>
      <protection locked="0" hidden="1"/>
    </xf>
    <xf numFmtId="0" fontId="126" fillId="0" borderId="17" xfId="303" applyFont="1" applyBorder="1" applyAlignment="1" applyProtection="1">
      <alignment horizontal="center"/>
      <protection locked="0" hidden="1"/>
    </xf>
    <xf numFmtId="0" fontId="126" fillId="0" borderId="17" xfId="303" applyFont="1" applyBorder="1" applyAlignment="1" applyProtection="1">
      <alignment wrapText="1"/>
      <protection locked="0" hidden="1"/>
    </xf>
    <xf numFmtId="169" fontId="126" fillId="0" borderId="17" xfId="1" applyNumberFormat="1" applyFont="1" applyBorder="1" applyAlignment="1" applyProtection="1">
      <alignment horizontal="center"/>
      <protection locked="0" hidden="1"/>
    </xf>
    <xf numFmtId="169" fontId="126" fillId="0" borderId="17" xfId="1" applyNumberFormat="1" applyFont="1" applyBorder="1" applyAlignment="1" applyProtection="1">
      <alignment horizontal="left" wrapText="1"/>
      <protection locked="0" hidden="1"/>
    </xf>
    <xf numFmtId="0" fontId="5" fillId="0" borderId="0" xfId="348" applyFont="1" applyProtection="1">
      <protection locked="0" hidden="1"/>
    </xf>
    <xf numFmtId="164" fontId="5" fillId="0" borderId="0" xfId="223" applyNumberFormat="1" applyFont="1" applyFill="1" applyAlignment="1" applyProtection="1">
      <protection locked="0" hidden="1"/>
    </xf>
    <xf numFmtId="44" fontId="5" fillId="0" borderId="0" xfId="348" applyNumberFormat="1" applyFont="1" applyAlignment="1" applyProtection="1">
      <alignment horizontal="center"/>
      <protection locked="0" hidden="1"/>
    </xf>
    <xf numFmtId="44" fontId="5" fillId="0" borderId="17" xfId="374" applyNumberFormat="1" applyFont="1" applyBorder="1" applyProtection="1">
      <protection locked="0" hidden="1"/>
    </xf>
    <xf numFmtId="49" fontId="34" fillId="0" borderId="17" xfId="348" applyNumberFormat="1" applyFont="1" applyBorder="1" applyAlignment="1" applyProtection="1">
      <alignment horizontal="center" vertical="center" wrapText="1"/>
      <protection locked="0" hidden="1"/>
    </xf>
    <xf numFmtId="0" fontId="5" fillId="0" borderId="17" xfId="374" applyFont="1" applyBorder="1" applyProtection="1">
      <protection locked="0" hidden="1"/>
    </xf>
    <xf numFmtId="0" fontId="5" fillId="0" borderId="30" xfId="374" applyFont="1" applyBorder="1" applyAlignment="1" applyProtection="1">
      <alignment horizontal="left"/>
      <protection locked="0" hidden="1"/>
    </xf>
    <xf numFmtId="0" fontId="34" fillId="0" borderId="15" xfId="374" applyFont="1" applyBorder="1" applyAlignment="1" applyProtection="1">
      <alignment horizontal="center" vertical="center" wrapText="1"/>
      <protection locked="0" hidden="1"/>
    </xf>
    <xf numFmtId="44" fontId="30" fillId="0" borderId="0" xfId="374" applyNumberFormat="1" applyFont="1" applyAlignment="1" applyProtection="1">
      <alignment horizontal="center"/>
      <protection locked="0" hidden="1"/>
    </xf>
    <xf numFmtId="37" fontId="56" fillId="0" borderId="17" xfId="341" applyFont="1" applyBorder="1" applyAlignment="1" applyProtection="1">
      <alignment wrapText="1"/>
      <protection locked="0" hidden="1"/>
    </xf>
    <xf numFmtId="49" fontId="42" fillId="0" borderId="16" xfId="223" applyNumberFormat="1" applyFont="1" applyFill="1" applyBorder="1" applyAlignment="1" applyProtection="1">
      <alignment horizontal="center" vertical="center"/>
      <protection locked="0" hidden="1"/>
    </xf>
    <xf numFmtId="169" fontId="126" fillId="0" borderId="16" xfId="1" applyNumberFormat="1" applyFont="1" applyBorder="1" applyAlignment="1" applyProtection="1">
      <alignment horizontal="center"/>
      <protection locked="0" hidden="1"/>
    </xf>
    <xf numFmtId="169" fontId="126" fillId="0" borderId="16" xfId="1" applyNumberFormat="1" applyFont="1" applyBorder="1" applyAlignment="1" applyProtection="1">
      <alignment horizontal="left" wrapText="1"/>
      <protection locked="0" hidden="1"/>
    </xf>
    <xf numFmtId="44" fontId="42" fillId="0" borderId="16" xfId="348" applyNumberFormat="1" applyFont="1" applyBorder="1" applyProtection="1">
      <protection hidden="1"/>
    </xf>
    <xf numFmtId="49" fontId="60" fillId="0" borderId="17" xfId="341" applyNumberFormat="1" applyFont="1" applyBorder="1" applyAlignment="1" applyProtection="1">
      <alignment horizontal="center" vertical="center"/>
      <protection locked="0" hidden="1"/>
    </xf>
    <xf numFmtId="0" fontId="60" fillId="0" borderId="0" xfId="374" applyFont="1" applyProtection="1">
      <protection locked="0" hidden="1"/>
    </xf>
    <xf numFmtId="0" fontId="89" fillId="0" borderId="0" xfId="374" applyFont="1" applyProtection="1">
      <protection locked="0" hidden="1"/>
    </xf>
    <xf numFmtId="49" fontId="64" fillId="0" borderId="17" xfId="341" applyNumberFormat="1" applyFont="1" applyBorder="1" applyAlignment="1" applyProtection="1">
      <alignment horizontal="center"/>
      <protection locked="0" hidden="1"/>
    </xf>
    <xf numFmtId="37" fontId="64" fillId="0" borderId="17" xfId="341" applyFont="1" applyBorder="1" applyAlignment="1" applyProtection="1">
      <alignment wrapText="1"/>
      <protection locked="0" hidden="1"/>
    </xf>
    <xf numFmtId="44" fontId="64" fillId="0" borderId="17" xfId="341" applyNumberFormat="1" applyFont="1" applyBorder="1" applyProtection="1">
      <protection locked="0" hidden="1"/>
    </xf>
    <xf numFmtId="44" fontId="90" fillId="0" borderId="17" xfId="348" applyNumberFormat="1" applyFont="1" applyBorder="1" applyAlignment="1" applyProtection="1">
      <alignment horizontal="right"/>
      <protection hidden="1"/>
    </xf>
    <xf numFmtId="169" fontId="66" fillId="0" borderId="17" xfId="1" applyNumberFormat="1" applyFont="1" applyBorder="1" applyAlignment="1" applyProtection="1">
      <alignment horizontal="left" wrapText="1"/>
      <protection locked="0" hidden="1"/>
    </xf>
    <xf numFmtId="169" fontId="66" fillId="0" borderId="17" xfId="1" applyNumberFormat="1" applyFont="1" applyBorder="1" applyAlignment="1" applyProtection="1">
      <alignment horizontal="left" wrapText="1"/>
      <protection hidden="1"/>
    </xf>
    <xf numFmtId="0" fontId="114" fillId="0" borderId="0" xfId="274" applyAlignment="1" applyProtection="1">
      <alignment horizontal="center"/>
    </xf>
    <xf numFmtId="0" fontId="114" fillId="0" borderId="0" xfId="274" applyAlignment="1" applyProtection="1"/>
    <xf numFmtId="164" fontId="26" fillId="0" borderId="0" xfId="223" applyNumberFormat="1" applyFont="1" applyProtection="1">
      <protection locked="0" hidden="1"/>
    </xf>
    <xf numFmtId="164" fontId="26" fillId="0" borderId="0" xfId="223" applyNumberFormat="1" applyFont="1" applyAlignment="1" applyProtection="1">
      <alignment horizontal="center" vertical="center" wrapText="1"/>
      <protection locked="0" hidden="1"/>
    </xf>
    <xf numFmtId="44" fontId="5" fillId="0" borderId="15" xfId="223" applyFont="1" applyFill="1" applyBorder="1" applyAlignment="1" applyProtection="1">
      <alignment horizontal="right"/>
      <protection locked="0" hidden="1"/>
    </xf>
    <xf numFmtId="0" fontId="42" fillId="0" borderId="36" xfId="326" applyFont="1" applyBorder="1" applyAlignment="1" applyProtection="1">
      <alignment horizontal="center" vertical="top" wrapText="1"/>
      <protection locked="0" hidden="1"/>
    </xf>
    <xf numFmtId="0" fontId="42" fillId="0" borderId="37" xfId="326" applyFont="1" applyBorder="1" applyAlignment="1" applyProtection="1">
      <alignment horizontal="left" vertical="top" wrapText="1"/>
      <protection locked="0" hidden="1"/>
    </xf>
    <xf numFmtId="8" fontId="42" fillId="0" borderId="17" xfId="326" applyNumberFormat="1" applyFont="1" applyBorder="1" applyAlignment="1" applyProtection="1">
      <alignment wrapText="1"/>
      <protection locked="0" hidden="1"/>
    </xf>
    <xf numFmtId="0" fontId="42" fillId="0" borderId="35" xfId="326" applyFont="1" applyBorder="1" applyAlignment="1" applyProtection="1">
      <alignment horizontal="center" vertical="top" wrapText="1"/>
      <protection locked="0" hidden="1"/>
    </xf>
    <xf numFmtId="0" fontId="42" fillId="0" borderId="38" xfId="326" applyFont="1" applyBorder="1" applyAlignment="1" applyProtection="1">
      <alignment horizontal="left" vertical="top" wrapText="1"/>
      <protection locked="0" hidden="1"/>
    </xf>
    <xf numFmtId="8" fontId="42" fillId="0" borderId="39" xfId="326" applyNumberFormat="1" applyFont="1" applyBorder="1" applyAlignment="1" applyProtection="1">
      <alignment wrapText="1"/>
      <protection locked="0" hidden="1"/>
    </xf>
    <xf numFmtId="0" fontId="42" fillId="0" borderId="30" xfId="326" applyFont="1" applyBorder="1" applyAlignment="1" applyProtection="1">
      <alignment horizontal="center" vertical="top" wrapText="1"/>
      <protection locked="0" hidden="1"/>
    </xf>
    <xf numFmtId="164" fontId="5" fillId="0" borderId="0" xfId="223" applyNumberFormat="1" applyAlignment="1" applyProtection="1">
      <alignment horizontal="center"/>
      <protection locked="0" hidden="1"/>
    </xf>
    <xf numFmtId="176" fontId="79" fillId="57" borderId="0" xfId="369" applyNumberFormat="1" applyFont="1" applyFill="1" applyBorder="1" applyAlignment="1">
      <alignment horizontal="center" vertical="center" wrapText="1"/>
    </xf>
    <xf numFmtId="176" fontId="79" fillId="57" borderId="0" xfId="369" applyNumberFormat="1" applyFont="1" applyFill="1" applyAlignment="1">
      <alignment horizontal="center" vertical="center" wrapText="1"/>
    </xf>
    <xf numFmtId="176" fontId="79" fillId="0" borderId="0" xfId="369" applyNumberFormat="1" applyFont="1" applyBorder="1" applyAlignment="1">
      <alignment horizontal="center" vertical="center" wrapText="1"/>
    </xf>
    <xf numFmtId="10" fontId="0" fillId="0" borderId="0" xfId="369" applyNumberFormat="1" applyFont="1" applyFill="1" applyAlignment="1">
      <alignment horizontal="center" wrapText="1"/>
    </xf>
    <xf numFmtId="176" fontId="0" fillId="0" borderId="0" xfId="369" applyNumberFormat="1" applyFont="1" applyFill="1" applyAlignment="1">
      <alignment horizontal="center" wrapText="1"/>
    </xf>
    <xf numFmtId="176" fontId="129" fillId="0" borderId="0" xfId="369" applyNumberFormat="1" applyFont="1" applyFill="1" applyAlignment="1">
      <alignment horizontal="center" vertical="center" wrapText="1"/>
    </xf>
    <xf numFmtId="176" fontId="129" fillId="0" borderId="0" xfId="369" applyNumberFormat="1" applyFont="1" applyAlignment="1">
      <alignment horizontal="center" vertical="center" wrapText="1"/>
    </xf>
    <xf numFmtId="176" fontId="104" fillId="0" borderId="0" xfId="369" applyNumberFormat="1" applyFont="1" applyFill="1" applyAlignment="1">
      <alignment horizontal="center" wrapText="1"/>
    </xf>
    <xf numFmtId="176" fontId="104" fillId="0" borderId="0" xfId="369" applyNumberFormat="1" applyFont="1" applyAlignment="1">
      <alignment horizontal="center" wrapText="1"/>
    </xf>
    <xf numFmtId="176" fontId="129" fillId="0" borderId="0" xfId="369" applyNumberFormat="1" applyFont="1" applyAlignment="1">
      <alignment horizontal="center" wrapText="1"/>
    </xf>
    <xf numFmtId="176" fontId="0" fillId="0" borderId="0" xfId="369" applyNumberFormat="1" applyFont="1" applyAlignment="1">
      <alignment horizontal="center" wrapText="1"/>
    </xf>
    <xf numFmtId="176" fontId="79" fillId="57" borderId="2" xfId="369" applyNumberFormat="1" applyFont="1" applyFill="1" applyBorder="1" applyAlignment="1">
      <alignment horizontal="center" vertical="center" wrapText="1"/>
    </xf>
    <xf numFmtId="176" fontId="79" fillId="0" borderId="2" xfId="369" applyNumberFormat="1" applyFont="1" applyFill="1" applyBorder="1" applyAlignment="1">
      <alignment horizontal="center" vertical="center" wrapText="1"/>
    </xf>
    <xf numFmtId="176" fontId="79" fillId="0" borderId="0" xfId="369" applyNumberFormat="1" applyFont="1" applyFill="1" applyBorder="1" applyAlignment="1">
      <alignment horizontal="center" vertical="center" wrapText="1"/>
    </xf>
    <xf numFmtId="0" fontId="5" fillId="0" borderId="16" xfId="374" applyFont="1" applyBorder="1" applyAlignment="1" applyProtection="1">
      <alignment horizontal="left"/>
      <protection locked="0" hidden="1"/>
    </xf>
    <xf numFmtId="0" fontId="5" fillId="0" borderId="16" xfId="374" applyFont="1" applyBorder="1" applyAlignment="1" applyProtection="1">
      <alignment wrapText="1"/>
      <protection locked="0" hidden="1"/>
    </xf>
    <xf numFmtId="44" fontId="5" fillId="0" borderId="16" xfId="346" applyNumberFormat="1" applyBorder="1" applyProtection="1">
      <protection locked="0" hidden="1"/>
    </xf>
    <xf numFmtId="49" fontId="42" fillId="0" borderId="34" xfId="347"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center"/>
      <protection locked="0" hidden="1"/>
    </xf>
    <xf numFmtId="1" fontId="42" fillId="0" borderId="17" xfId="347" applyNumberFormat="1" applyFont="1" applyBorder="1" applyAlignment="1" applyProtection="1">
      <alignment horizontal="center" vertical="top" wrapText="1"/>
      <protection locked="0" hidden="1"/>
    </xf>
    <xf numFmtId="49" fontId="5" fillId="0" borderId="32" xfId="303" applyNumberFormat="1" applyBorder="1" applyAlignment="1" applyProtection="1">
      <alignment horizontal="left"/>
      <protection locked="0" hidden="1"/>
    </xf>
    <xf numFmtId="0" fontId="42" fillId="0" borderId="17" xfId="347" applyFont="1" applyBorder="1" applyAlignment="1" applyProtection="1">
      <alignment vertical="top" wrapText="1"/>
      <protection locked="0" hidden="1"/>
    </xf>
    <xf numFmtId="44" fontId="5" fillId="0" borderId="32" xfId="303" applyNumberFormat="1" applyBorder="1" applyProtection="1">
      <protection locked="0" hidden="1"/>
    </xf>
    <xf numFmtId="44" fontId="42" fillId="0" borderId="17" xfId="347" applyNumberFormat="1" applyFont="1" applyBorder="1" applyProtection="1">
      <protection locked="0" hidden="1"/>
    </xf>
    <xf numFmtId="172" fontId="0" fillId="0" borderId="0" xfId="0" applyNumberFormat="1" applyProtection="1">
      <protection locked="0" hidden="1"/>
    </xf>
    <xf numFmtId="169" fontId="66" fillId="0" borderId="16" xfId="1" applyNumberFormat="1" applyFont="1" applyBorder="1" applyAlignment="1" applyProtection="1">
      <alignment horizontal="left"/>
      <protection locked="0" hidden="1"/>
    </xf>
    <xf numFmtId="44" fontId="66" fillId="0" borderId="16" xfId="348" applyNumberFormat="1" applyFont="1" applyBorder="1" applyAlignment="1" applyProtection="1">
      <alignment horizontal="right"/>
      <protection hidden="1"/>
    </xf>
    <xf numFmtId="169" fontId="66" fillId="0" borderId="16" xfId="1" applyNumberFormat="1" applyFont="1" applyBorder="1" applyAlignment="1" applyProtection="1">
      <alignment horizontal="left" wrapText="1"/>
      <protection locked="0" hidden="1"/>
    </xf>
    <xf numFmtId="44" fontId="66" fillId="0" borderId="16" xfId="348" applyNumberFormat="1" applyFont="1" applyBorder="1" applyAlignment="1" applyProtection="1">
      <alignment horizontal="right"/>
      <protection locked="0" hidden="1"/>
    </xf>
    <xf numFmtId="37" fontId="56" fillId="0" borderId="16" xfId="341" applyFont="1" applyBorder="1" applyAlignment="1" applyProtection="1">
      <alignment wrapText="1"/>
      <protection locked="0" hidden="1"/>
    </xf>
    <xf numFmtId="49" fontId="64" fillId="0" borderId="16" xfId="341" applyNumberFormat="1" applyFont="1" applyBorder="1" applyAlignment="1" applyProtection="1">
      <alignment horizontal="center"/>
      <protection locked="0" hidden="1"/>
    </xf>
    <xf numFmtId="37" fontId="64" fillId="0" borderId="16" xfId="341" applyFont="1" applyBorder="1" applyAlignment="1" applyProtection="1">
      <alignment wrapText="1"/>
      <protection locked="0" hidden="1"/>
    </xf>
    <xf numFmtId="44" fontId="64" fillId="0" borderId="16" xfId="341" applyNumberFormat="1" applyFont="1" applyBorder="1" applyProtection="1">
      <protection locked="0" hidden="1"/>
    </xf>
    <xf numFmtId="44" fontId="90" fillId="0" borderId="16" xfId="348" applyNumberFormat="1" applyFont="1" applyBorder="1" applyAlignment="1" applyProtection="1">
      <alignment horizontal="right"/>
      <protection hidden="1"/>
    </xf>
    <xf numFmtId="44" fontId="5" fillId="0" borderId="17" xfId="303" applyNumberFormat="1" applyBorder="1" applyProtection="1">
      <protection locked="0" hidden="1"/>
    </xf>
    <xf numFmtId="0" fontId="5" fillId="0" borderId="17" xfId="326" applyFont="1" applyBorder="1" applyAlignment="1" applyProtection="1">
      <alignment horizontal="center" vertical="top" wrapText="1"/>
      <protection locked="0" hidden="1"/>
    </xf>
    <xf numFmtId="0" fontId="5" fillId="0" borderId="30" xfId="326" applyFont="1" applyBorder="1" applyAlignment="1" applyProtection="1">
      <alignment horizontal="center" vertical="top" wrapText="1"/>
      <protection locked="0" hidden="1"/>
    </xf>
    <xf numFmtId="0" fontId="5" fillId="0" borderId="17" xfId="326" applyFont="1" applyBorder="1" applyAlignment="1" applyProtection="1">
      <alignment horizontal="left" vertical="top" wrapText="1"/>
      <protection locked="0" hidden="1"/>
    </xf>
    <xf numFmtId="3" fontId="26" fillId="0" borderId="0" xfId="374" applyNumberFormat="1" applyFont="1" applyAlignment="1" applyProtection="1">
      <alignment horizontal="left" wrapText="1"/>
      <protection locked="0" hidden="1"/>
    </xf>
    <xf numFmtId="0" fontId="5" fillId="0" borderId="32" xfId="346" applyNumberFormat="1" applyBorder="1" applyAlignment="1" applyProtection="1">
      <alignment horizontal="center" wrapText="1"/>
      <protection locked="0" hidden="1"/>
    </xf>
    <xf numFmtId="0" fontId="42" fillId="0" borderId="35" xfId="0" applyFont="1" applyBorder="1" applyAlignment="1">
      <alignment horizontal="center"/>
    </xf>
    <xf numFmtId="0" fontId="5" fillId="0" borderId="30" xfId="338" applyFont="1" applyBorder="1" applyAlignment="1" applyProtection="1">
      <alignment horizontal="center"/>
      <protection locked="0" hidden="1"/>
    </xf>
    <xf numFmtId="0" fontId="42" fillId="0" borderId="36" xfId="0" applyFont="1" applyBorder="1" applyAlignment="1">
      <alignment horizontal="center"/>
    </xf>
    <xf numFmtId="0" fontId="126" fillId="0" borderId="30" xfId="0" applyFont="1" applyBorder="1" applyAlignment="1" applyProtection="1">
      <alignment wrapText="1"/>
      <protection locked="0" hidden="1"/>
    </xf>
    <xf numFmtId="1" fontId="126" fillId="0" borderId="17" xfId="1" applyNumberFormat="1" applyFont="1" applyBorder="1" applyAlignment="1" applyProtection="1">
      <alignment horizontal="center"/>
      <protection locked="0" hidden="1"/>
    </xf>
    <xf numFmtId="1" fontId="126" fillId="0" borderId="17" xfId="303" applyNumberFormat="1" applyFont="1" applyBorder="1" applyAlignment="1" applyProtection="1">
      <alignment horizontal="center"/>
      <protection locked="0" hidden="1"/>
    </xf>
    <xf numFmtId="0" fontId="46" fillId="24" borderId="21" xfId="374" applyFont="1" applyFill="1" applyBorder="1" applyAlignment="1" applyProtection="1">
      <alignment horizontal="left"/>
      <protection locked="0" hidden="1"/>
    </xf>
    <xf numFmtId="44" fontId="60" fillId="0" borderId="17" xfId="225" applyFont="1" applyFill="1" applyBorder="1" applyAlignment="1" applyProtection="1">
      <alignment horizontal="center" vertical="center"/>
      <protection hidden="1"/>
    </xf>
    <xf numFmtId="44" fontId="26" fillId="0" borderId="0" xfId="0" applyNumberFormat="1" applyFont="1" applyAlignment="1" applyProtection="1">
      <alignment horizontal="center" vertical="center" wrapText="1"/>
      <protection locked="0" hidden="1"/>
    </xf>
    <xf numFmtId="0" fontId="26" fillId="0" borderId="26" xfId="303" applyFont="1" applyBorder="1" applyProtection="1">
      <protection locked="0" hidden="1"/>
    </xf>
    <xf numFmtId="44" fontId="32" fillId="0" borderId="0" xfId="303" applyNumberFormat="1" applyFont="1" applyAlignment="1" applyProtection="1">
      <alignment horizontal="center"/>
      <protection locked="0" hidden="1"/>
    </xf>
    <xf numFmtId="0" fontId="33" fillId="0" borderId="0" xfId="303" applyFont="1" applyAlignment="1" applyProtection="1">
      <alignment vertical="top" wrapText="1"/>
      <protection locked="0" hidden="1"/>
    </xf>
    <xf numFmtId="0" fontId="69" fillId="0" borderId="17" xfId="339"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hidden="1"/>
    </xf>
    <xf numFmtId="0" fontId="42" fillId="0" borderId="17" xfId="223" applyNumberFormat="1" applyFont="1" applyFill="1" applyBorder="1" applyAlignment="1" applyProtection="1">
      <alignment horizontal="center"/>
      <protection locked="0" hidden="1"/>
    </xf>
    <xf numFmtId="44" fontId="5" fillId="0" borderId="17" xfId="374" applyNumberFormat="1" applyFont="1" applyBorder="1" applyAlignment="1" applyProtection="1">
      <alignment horizontal="left"/>
      <protection locked="0" hidden="1"/>
    </xf>
    <xf numFmtId="44" fontId="5" fillId="0" borderId="17" xfId="223" applyFont="1" applyFill="1" applyBorder="1" applyAlignment="1" applyProtection="1">
      <alignment horizontal="center" vertical="center"/>
      <protection locked="0" hidden="1"/>
    </xf>
    <xf numFmtId="44" fontId="34" fillId="0" borderId="18" xfId="223" applyFont="1" applyFill="1" applyBorder="1" applyAlignment="1" applyProtection="1">
      <alignment horizontal="center" vertical="center"/>
      <protection locked="0" hidden="1"/>
    </xf>
    <xf numFmtId="44" fontId="34" fillId="0" borderId="19" xfId="223" applyFont="1" applyFill="1" applyBorder="1" applyAlignment="1" applyProtection="1">
      <alignment horizontal="center" vertical="center"/>
      <protection locked="0" hidden="1"/>
    </xf>
    <xf numFmtId="0" fontId="42" fillId="0" borderId="17" xfId="303" applyFont="1" applyBorder="1" applyAlignment="1" applyProtection="1">
      <alignment horizontal="justify" vertical="top" wrapText="1"/>
      <protection locked="0" hidden="1"/>
    </xf>
    <xf numFmtId="0" fontId="42" fillId="0" borderId="17" xfId="303" applyFont="1" applyBorder="1" applyAlignment="1" applyProtection="1">
      <alignment horizontal="left" vertical="top" wrapText="1"/>
      <protection locked="0" hidden="1"/>
    </xf>
    <xf numFmtId="44" fontId="42" fillId="0" borderId="17" xfId="303" applyNumberFormat="1" applyFont="1" applyBorder="1" applyAlignment="1" applyProtection="1">
      <alignment wrapText="1"/>
      <protection locked="0" hidden="1"/>
    </xf>
    <xf numFmtId="0" fontId="26" fillId="0" borderId="0" xfId="303" applyFont="1" applyAlignment="1" applyProtection="1">
      <alignment horizontal="center"/>
      <protection locked="0" hidden="1"/>
    </xf>
    <xf numFmtId="44" fontId="36" fillId="0" borderId="0" xfId="303" applyNumberFormat="1" applyFont="1" applyAlignment="1" applyProtection="1">
      <alignment horizontal="center"/>
      <protection hidden="1"/>
    </xf>
    <xf numFmtId="0" fontId="49" fillId="23" borderId="0" xfId="303" applyFont="1" applyFill="1" applyProtection="1">
      <protection locked="0" hidden="1"/>
    </xf>
    <xf numFmtId="0" fontId="5" fillId="23" borderId="0" xfId="303" applyFill="1" applyProtection="1">
      <protection locked="0" hidden="1"/>
    </xf>
    <xf numFmtId="164" fontId="5" fillId="0" borderId="0" xfId="223" applyNumberFormat="1" applyAlignment="1" applyProtection="1">
      <protection locked="0" hidden="1"/>
    </xf>
    <xf numFmtId="0" fontId="26" fillId="0" borderId="0" xfId="303" applyFont="1" applyAlignment="1" applyProtection="1">
      <alignment horizontal="center" vertical="center"/>
      <protection locked="0" hidden="1"/>
    </xf>
    <xf numFmtId="8" fontId="26" fillId="0" borderId="0" xfId="0" applyNumberFormat="1" applyFont="1" applyAlignment="1" applyProtection="1">
      <alignment horizontal="center" vertical="center" wrapText="1"/>
      <protection locked="0" hidden="1"/>
    </xf>
    <xf numFmtId="44" fontId="5" fillId="0" borderId="0" xfId="303" applyNumberFormat="1" applyAlignment="1" applyProtection="1">
      <alignment horizontal="center" wrapText="1"/>
      <protection locked="0" hidden="1"/>
    </xf>
    <xf numFmtId="0" fontId="5" fillId="0" borderId="17" xfId="223" applyNumberFormat="1" applyFont="1" applyFill="1" applyBorder="1" applyAlignment="1" applyProtection="1">
      <alignment horizontal="right"/>
      <protection locked="0" hidden="1"/>
    </xf>
    <xf numFmtId="44" fontId="34" fillId="0" borderId="0" xfId="374" applyNumberFormat="1" applyFont="1" applyAlignment="1" applyProtection="1">
      <alignment horizontal="center" vertical="center" wrapText="1"/>
      <protection locked="0" hidden="1"/>
    </xf>
    <xf numFmtId="44" fontId="32" fillId="0" borderId="0" xfId="374" applyNumberFormat="1" applyFont="1" applyProtection="1">
      <protection locked="0" hidden="1"/>
    </xf>
    <xf numFmtId="44" fontId="91" fillId="0" borderId="0" xfId="374" applyNumberFormat="1" applyFont="1" applyProtection="1">
      <protection locked="0" hidden="1"/>
    </xf>
    <xf numFmtId="44" fontId="5" fillId="0" borderId="0" xfId="344" applyNumberFormat="1" applyProtection="1">
      <protection locked="0" hidden="1"/>
    </xf>
    <xf numFmtId="1" fontId="5" fillId="0" borderId="17" xfId="343" applyNumberFormat="1" applyBorder="1" applyAlignment="1" applyProtection="1">
      <alignment horizontal="center"/>
      <protection locked="0" hidden="1"/>
    </xf>
    <xf numFmtId="49" fontId="56" fillId="0" borderId="17" xfId="341" applyNumberFormat="1" applyFont="1" applyBorder="1" applyAlignment="1" applyProtection="1">
      <alignment horizontal="center"/>
      <protection locked="0" hidden="1"/>
    </xf>
    <xf numFmtId="49" fontId="56" fillId="0" borderId="17" xfId="341" applyNumberFormat="1" applyFont="1" applyBorder="1" applyAlignment="1" applyProtection="1">
      <alignment wrapText="1"/>
      <protection locked="0" hidden="1"/>
    </xf>
    <xf numFmtId="49" fontId="56" fillId="0" borderId="16" xfId="341" applyNumberFormat="1" applyFont="1" applyBorder="1" applyAlignment="1" applyProtection="1">
      <alignment horizontal="center"/>
      <protection hidden="1"/>
    </xf>
    <xf numFmtId="44" fontId="34" fillId="0" borderId="15" xfId="223" applyFont="1" applyFill="1" applyBorder="1" applyAlignment="1" applyProtection="1">
      <alignment horizontal="center" vertical="center"/>
      <protection hidden="1"/>
    </xf>
    <xf numFmtId="0" fontId="5" fillId="0" borderId="18" xfId="303" applyBorder="1" applyProtection="1">
      <protection locked="0" hidden="1"/>
    </xf>
    <xf numFmtId="0" fontId="5" fillId="0" borderId="18" xfId="303" applyBorder="1" applyProtection="1">
      <protection hidden="1"/>
    </xf>
    <xf numFmtId="0" fontId="5" fillId="0" borderId="19" xfId="303" applyBorder="1" applyProtection="1">
      <protection hidden="1"/>
    </xf>
    <xf numFmtId="44" fontId="34" fillId="0" borderId="15" xfId="223" applyFont="1" applyFill="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0" fontId="5" fillId="0" borderId="27" xfId="303" applyBorder="1" applyProtection="1">
      <protection locked="0" hidden="1"/>
    </xf>
    <xf numFmtId="0" fontId="5" fillId="0" borderId="28" xfId="303" applyBorder="1" applyProtection="1">
      <protection locked="0" hidden="1"/>
    </xf>
    <xf numFmtId="0" fontId="5" fillId="0" borderId="19" xfId="303" applyBorder="1" applyAlignment="1" applyProtection="1">
      <alignment horizontal="center"/>
      <protection locked="0" hidden="1"/>
    </xf>
    <xf numFmtId="0" fontId="5" fillId="0" borderId="18" xfId="303" applyBorder="1" applyAlignment="1" applyProtection="1">
      <alignment horizontal="center"/>
      <protection locked="0" hidden="1"/>
    </xf>
    <xf numFmtId="0" fontId="5" fillId="0" borderId="19" xfId="303" applyBorder="1" applyProtection="1">
      <protection locked="0" hidden="1"/>
    </xf>
    <xf numFmtId="0" fontId="25" fillId="0" borderId="0" xfId="303" applyFont="1" applyAlignment="1" applyProtection="1">
      <alignment horizontal="right" wrapText="1"/>
      <protection locked="0" hidden="1"/>
    </xf>
    <xf numFmtId="0" fontId="26" fillId="0" borderId="0" xfId="303" applyFont="1" applyAlignment="1" applyProtection="1">
      <alignment horizontal="left" wrapText="1"/>
      <protection locked="0" hidden="1"/>
    </xf>
    <xf numFmtId="0" fontId="5" fillId="0" borderId="0" xfId="303" applyAlignment="1" applyProtection="1">
      <alignment horizontal="left"/>
      <protection locked="0" hidden="1"/>
    </xf>
    <xf numFmtId="0" fontId="34" fillId="0" borderId="15" xfId="303" applyFont="1" applyBorder="1" applyAlignment="1" applyProtection="1">
      <alignment horizontal="center" vertical="center"/>
      <protection locked="0" hidden="1"/>
    </xf>
    <xf numFmtId="0" fontId="5" fillId="0" borderId="22" xfId="303" applyBorder="1" applyProtection="1">
      <protection locked="0" hidden="1"/>
    </xf>
    <xf numFmtId="0" fontId="34" fillId="0" borderId="0" xfId="303" applyFont="1" applyAlignment="1">
      <alignment horizontal="center"/>
    </xf>
    <xf numFmtId="0" fontId="25" fillId="0" borderId="26" xfId="303" applyFont="1" applyBorder="1" applyAlignment="1" applyProtection="1">
      <alignment wrapText="1"/>
      <protection locked="0" hidden="1"/>
    </xf>
    <xf numFmtId="0" fontId="25" fillId="0" borderId="26" xfId="303" applyFont="1" applyBorder="1" applyProtection="1">
      <protection locked="0" hidden="1"/>
    </xf>
    <xf numFmtId="44" fontId="25" fillId="0" borderId="26" xfId="303" applyNumberFormat="1" applyFont="1" applyBorder="1" applyProtection="1">
      <protection locked="0" hidden="1"/>
    </xf>
    <xf numFmtId="3" fontId="26" fillId="0" borderId="0" xfId="303" applyNumberFormat="1" applyFont="1" applyAlignment="1" applyProtection="1">
      <alignment horizontal="left"/>
      <protection locked="0" hidden="1"/>
    </xf>
    <xf numFmtId="0" fontId="34" fillId="0" borderId="0" xfId="303" applyFont="1" applyAlignment="1" applyProtection="1">
      <alignment horizontal="center"/>
      <protection locked="0" hidden="1"/>
    </xf>
    <xf numFmtId="164" fontId="26" fillId="0" borderId="0" xfId="223" applyNumberFormat="1" applyFont="1" applyFill="1" applyAlignment="1" applyProtection="1">
      <alignment horizontal="center" vertical="center" wrapText="1"/>
      <protection locked="0" hidden="1"/>
    </xf>
    <xf numFmtId="0" fontId="34" fillId="0" borderId="15" xfId="303" applyFont="1" applyBorder="1" applyAlignment="1" applyProtection="1">
      <alignment horizontal="left" vertical="center" wrapText="1"/>
      <protection locked="0" hidden="1"/>
    </xf>
    <xf numFmtId="44" fontId="34" fillId="0" borderId="15" xfId="303" applyNumberFormat="1" applyFont="1" applyBorder="1" applyAlignment="1" applyProtection="1">
      <alignment horizontal="center" vertical="center" wrapText="1"/>
      <protection locked="0" hidden="1"/>
    </xf>
    <xf numFmtId="4" fontId="25" fillId="0" borderId="0" xfId="303" applyNumberFormat="1" applyFont="1" applyAlignment="1" applyProtection="1">
      <alignment horizontal="center"/>
      <protection locked="0" hidden="1"/>
    </xf>
    <xf numFmtId="0" fontId="5" fillId="0" borderId="17" xfId="303" applyBorder="1" applyAlignment="1" applyProtection="1">
      <alignment horizontal="left"/>
      <protection locked="0" hidden="1"/>
    </xf>
    <xf numFmtId="0" fontId="5" fillId="0" borderId="20" xfId="303" applyBorder="1" applyAlignment="1" applyProtection="1">
      <alignment horizontal="center" vertical="center"/>
      <protection locked="0" hidden="1"/>
    </xf>
    <xf numFmtId="44" fontId="5" fillId="0" borderId="18" xfId="303" applyNumberFormat="1" applyBorder="1" applyProtection="1">
      <protection locked="0" hidden="1"/>
    </xf>
    <xf numFmtId="0" fontId="5" fillId="0" borderId="30" xfId="303" applyBorder="1" applyAlignment="1" applyProtection="1">
      <alignment horizontal="center"/>
      <protection locked="0" hidden="1"/>
    </xf>
    <xf numFmtId="44" fontId="5" fillId="0" borderId="17" xfId="223" applyFont="1" applyFill="1" applyBorder="1" applyAlignment="1" applyProtection="1">
      <protection locked="0" hidden="1"/>
    </xf>
    <xf numFmtId="44" fontId="5" fillId="0" borderId="16" xfId="223" applyFont="1" applyFill="1" applyBorder="1" applyAlignment="1" applyProtection="1">
      <protection locked="0" hidden="1"/>
    </xf>
    <xf numFmtId="44" fontId="26" fillId="0" borderId="0" xfId="303" applyNumberFormat="1" applyFont="1" applyAlignment="1" applyProtection="1">
      <alignment horizontal="center" vertical="center" wrapText="1"/>
      <protection locked="0" hidden="1"/>
    </xf>
    <xf numFmtId="0" fontId="42" fillId="0" borderId="17" xfId="399" applyFont="1" applyBorder="1" applyAlignment="1" applyProtection="1">
      <alignment horizontal="center" vertical="top" wrapText="1"/>
      <protection locked="0" hidden="1"/>
    </xf>
    <xf numFmtId="0" fontId="5" fillId="0" borderId="17" xfId="303" applyBorder="1" applyAlignment="1" applyProtection="1">
      <alignment horizontal="left" wrapText="1"/>
      <protection locked="0" hidden="1"/>
    </xf>
    <xf numFmtId="8" fontId="42" fillId="0" borderId="17" xfId="303" applyNumberFormat="1" applyFont="1" applyBorder="1" applyProtection="1">
      <protection locked="0" hidden="1"/>
    </xf>
    <xf numFmtId="0" fontId="43" fillId="0" borderId="0" xfId="303" applyFont="1" applyProtection="1">
      <protection locked="0" hidden="1"/>
    </xf>
    <xf numFmtId="44" fontId="34" fillId="0" borderId="0" xfId="223" applyFont="1" applyFill="1" applyBorder="1" applyAlignment="1" applyProtection="1">
      <alignment horizontal="center"/>
      <protection locked="0" hidden="1"/>
    </xf>
    <xf numFmtId="0" fontId="44" fillId="0" borderId="0" xfId="303" applyFont="1" applyProtection="1">
      <protection locked="0" hidden="1"/>
    </xf>
    <xf numFmtId="0" fontId="5" fillId="0" borderId="17" xfId="303" applyBorder="1" applyProtection="1">
      <protection locked="0" hidden="1"/>
    </xf>
    <xf numFmtId="0" fontId="26" fillId="0" borderId="27" xfId="303" applyFont="1" applyBorder="1" applyProtection="1">
      <protection locked="0" hidden="1"/>
    </xf>
    <xf numFmtId="0" fontId="35" fillId="0" borderId="0" xfId="303" applyFont="1" applyProtection="1">
      <protection locked="0" hidden="1"/>
    </xf>
    <xf numFmtId="164" fontId="26" fillId="0" borderId="0" xfId="223" applyNumberFormat="1" applyFont="1" applyAlignment="1" applyProtection="1">
      <alignment vertical="center" wrapText="1"/>
      <protection locked="0" hidden="1"/>
    </xf>
    <xf numFmtId="0" fontId="25" fillId="0" borderId="19" xfId="303" applyFont="1" applyBorder="1" applyAlignment="1" applyProtection="1">
      <alignment horizontal="center" vertical="center" wrapText="1"/>
      <protection locked="0" hidden="1"/>
    </xf>
    <xf numFmtId="0" fontId="34" fillId="0" borderId="19" xfId="303" applyFont="1" applyBorder="1" applyAlignment="1" applyProtection="1">
      <alignment horizontal="center"/>
      <protection locked="0" hidden="1"/>
    </xf>
    <xf numFmtId="0" fontId="34" fillId="0" borderId="17" xfId="303" applyFont="1" applyBorder="1" applyAlignment="1" applyProtection="1">
      <alignment wrapText="1"/>
      <protection locked="0" hidden="1"/>
    </xf>
    <xf numFmtId="44" fontId="34" fillId="0" borderId="17" xfId="303" applyNumberFormat="1" applyFont="1" applyBorder="1" applyAlignment="1" applyProtection="1">
      <alignment horizontal="center" vertical="center" wrapText="1"/>
      <protection locked="0" hidden="1"/>
    </xf>
    <xf numFmtId="0" fontId="26" fillId="0" borderId="17" xfId="303" applyFont="1" applyBorder="1" applyAlignment="1" applyProtection="1">
      <alignment horizontal="center" vertical="center" wrapText="1"/>
      <protection locked="0" hidden="1"/>
    </xf>
    <xf numFmtId="8" fontId="26" fillId="0" borderId="0" xfId="303" applyNumberFormat="1" applyFont="1" applyAlignment="1" applyProtection="1">
      <alignment horizontal="center" vertical="center" wrapText="1"/>
      <protection locked="0" hidden="1"/>
    </xf>
    <xf numFmtId="0" fontId="26" fillId="0" borderId="17" xfId="303" applyFont="1" applyBorder="1" applyAlignment="1" applyProtection="1">
      <alignment horizontal="center" vertical="center"/>
      <protection locked="0" hidden="1"/>
    </xf>
    <xf numFmtId="0" fontId="42" fillId="0" borderId="17" xfId="326" applyFont="1" applyBorder="1" applyAlignment="1" applyProtection="1">
      <alignment horizontal="center" vertical="top" wrapText="1"/>
      <protection locked="0" hidden="1"/>
    </xf>
    <xf numFmtId="0" fontId="42" fillId="0" borderId="17" xfId="326" applyFont="1" applyBorder="1" applyAlignment="1" applyProtection="1">
      <alignment horizontal="left" vertical="top" wrapText="1"/>
      <protection locked="0" hidden="1"/>
    </xf>
    <xf numFmtId="0" fontId="5" fillId="0" borderId="17" xfId="303" applyBorder="1" applyAlignment="1" applyProtection="1">
      <alignment horizontal="center" wrapText="1"/>
      <protection locked="0" hidden="1"/>
    </xf>
    <xf numFmtId="0" fontId="5" fillId="0" borderId="36" xfId="303" applyBorder="1" applyAlignment="1" applyProtection="1">
      <alignment horizontal="center"/>
      <protection locked="0" hidden="1"/>
    </xf>
    <xf numFmtId="0" fontId="5" fillId="0" borderId="37" xfId="303" applyBorder="1" applyAlignment="1" applyProtection="1">
      <alignment wrapText="1"/>
      <protection locked="0" hidden="1"/>
    </xf>
    <xf numFmtId="0" fontId="5" fillId="0" borderId="35" xfId="303" applyBorder="1" applyAlignment="1" applyProtection="1">
      <alignment horizontal="center"/>
      <protection locked="0" hidden="1"/>
    </xf>
    <xf numFmtId="0" fontId="5" fillId="0" borderId="38" xfId="303" applyBorder="1" applyAlignment="1" applyProtection="1">
      <alignment wrapText="1"/>
      <protection locked="0" hidden="1"/>
    </xf>
    <xf numFmtId="8" fontId="5" fillId="0" borderId="39" xfId="303" applyNumberFormat="1" applyBorder="1" applyProtection="1">
      <protection locked="0" hidden="1"/>
    </xf>
    <xf numFmtId="44" fontId="5" fillId="0" borderId="17" xfId="303" applyNumberFormat="1" applyBorder="1" applyProtection="1">
      <protection hidden="1"/>
    </xf>
    <xf numFmtId="0" fontId="46" fillId="0" borderId="0" xfId="303" applyFont="1" applyProtection="1">
      <protection locked="0" hidden="1"/>
    </xf>
    <xf numFmtId="44" fontId="5" fillId="0" borderId="0" xfId="303" applyNumberFormat="1" applyProtection="1">
      <protection locked="0" hidden="1"/>
    </xf>
    <xf numFmtId="44" fontId="34" fillId="0" borderId="0" xfId="303" applyNumberFormat="1" applyFont="1" applyAlignment="1" applyProtection="1">
      <alignment horizontal="center"/>
      <protection hidden="1"/>
    </xf>
    <xf numFmtId="8" fontId="5" fillId="0" borderId="0" xfId="303" applyNumberFormat="1" applyProtection="1">
      <protection locked="0" hidden="1"/>
    </xf>
    <xf numFmtId="44" fontId="5" fillId="0" borderId="16" xfId="303" applyNumberFormat="1" applyBorder="1" applyAlignment="1" applyProtection="1">
      <alignment horizontal="right"/>
      <protection hidden="1"/>
    </xf>
    <xf numFmtId="44" fontId="5" fillId="0" borderId="24" xfId="303" applyNumberFormat="1" applyBorder="1" applyProtection="1">
      <protection hidden="1"/>
    </xf>
    <xf numFmtId="44" fontId="5" fillId="0" borderId="17" xfId="303" applyNumberFormat="1" applyBorder="1" applyAlignment="1" applyProtection="1">
      <alignment horizontal="right"/>
      <protection hidden="1"/>
    </xf>
    <xf numFmtId="44" fontId="5" fillId="0" borderId="17" xfId="303" applyNumberFormat="1" applyBorder="1" applyAlignment="1" applyProtection="1">
      <alignment wrapText="1"/>
      <protection hidden="1"/>
    </xf>
    <xf numFmtId="8" fontId="5" fillId="0" borderId="17" xfId="303" applyNumberFormat="1" applyBorder="1" applyAlignment="1" applyProtection="1">
      <alignment wrapText="1"/>
      <protection locked="0" hidden="1"/>
    </xf>
    <xf numFmtId="49" fontId="5" fillId="0" borderId="17" xfId="303" applyNumberFormat="1" applyBorder="1" applyAlignment="1" applyProtection="1">
      <alignment horizontal="center"/>
      <protection locked="0" hidden="1"/>
    </xf>
    <xf numFmtId="49" fontId="5" fillId="0" borderId="17" xfId="303" applyNumberFormat="1" applyBorder="1" applyAlignment="1" applyProtection="1">
      <alignment horizontal="left" wrapText="1"/>
      <protection locked="0" hidden="1"/>
    </xf>
    <xf numFmtId="8" fontId="5" fillId="0" borderId="17" xfId="303" applyNumberFormat="1" applyBorder="1" applyAlignment="1" applyProtection="1">
      <alignment horizontal="right" wrapText="1"/>
      <protection locked="0" hidden="1"/>
    </xf>
    <xf numFmtId="0" fontId="5" fillId="0" borderId="17" xfId="303" applyBorder="1" applyAlignment="1" applyProtection="1">
      <alignment horizontal="left" vertical="top" wrapText="1"/>
      <protection locked="0" hidden="1"/>
    </xf>
    <xf numFmtId="44" fontId="5" fillId="0" borderId="15" xfId="223" applyFont="1" applyFill="1" applyBorder="1" applyAlignment="1" applyProtection="1">
      <alignment horizontal="right"/>
      <protection hidden="1"/>
    </xf>
    <xf numFmtId="164" fontId="5" fillId="0" borderId="23" xfId="223" applyNumberFormat="1" applyFont="1" applyFill="1" applyBorder="1" applyAlignment="1" applyProtection="1">
      <alignment horizontal="right"/>
      <protection hidden="1"/>
    </xf>
    <xf numFmtId="44" fontId="5" fillId="0" borderId="17" xfId="303" applyNumberFormat="1" applyBorder="1" applyAlignment="1" applyProtection="1">
      <alignment horizontal="left"/>
      <protection locked="0" hidden="1"/>
    </xf>
    <xf numFmtId="164" fontId="5" fillId="0" borderId="20" xfId="223" applyNumberFormat="1" applyFont="1" applyFill="1" applyBorder="1" applyAlignment="1" applyProtection="1">
      <alignment horizontal="right"/>
      <protection hidden="1"/>
    </xf>
    <xf numFmtId="44" fontId="31" fillId="0" borderId="17" xfId="303" applyNumberFormat="1" applyFont="1" applyBorder="1" applyProtection="1">
      <protection locked="0" hidden="1"/>
    </xf>
    <xf numFmtId="0" fontId="31" fillId="0" borderId="17" xfId="303" applyFont="1" applyBorder="1" applyProtection="1">
      <protection locked="0" hidden="1"/>
    </xf>
    <xf numFmtId="49" fontId="31" fillId="0" borderId="17" xfId="303" applyNumberFormat="1" applyFont="1" applyBorder="1" applyAlignment="1" applyProtection="1">
      <alignment horizontal="center"/>
      <protection locked="0" hidden="1"/>
    </xf>
    <xf numFmtId="44" fontId="34" fillId="0" borderId="20" xfId="303" applyNumberFormat="1" applyFont="1" applyBorder="1" applyAlignment="1" applyProtection="1">
      <alignment horizontal="center" vertical="center"/>
      <protection hidden="1"/>
    </xf>
    <xf numFmtId="44" fontId="34" fillId="0" borderId="17" xfId="303" applyNumberFormat="1" applyFont="1" applyBorder="1" applyAlignment="1" applyProtection="1">
      <alignment horizontal="center" vertical="center"/>
      <protection hidden="1"/>
    </xf>
    <xf numFmtId="44" fontId="41" fillId="0" borderId="17" xfId="303" applyNumberFormat="1" applyFont="1" applyBorder="1" applyAlignment="1" applyProtection="1">
      <alignment horizontal="left" vertical="center" wrapText="1"/>
      <protection locked="0" hidden="1"/>
    </xf>
    <xf numFmtId="169" fontId="41" fillId="0" borderId="17" xfId="303" applyNumberFormat="1" applyFont="1" applyBorder="1" applyAlignment="1" applyProtection="1">
      <alignment horizontal="left" vertical="center" wrapText="1"/>
      <protection locked="0" hidden="1"/>
    </xf>
    <xf numFmtId="49" fontId="41" fillId="0" borderId="17" xfId="303" applyNumberFormat="1" applyFont="1" applyBorder="1" applyAlignment="1" applyProtection="1">
      <alignment horizontal="center" vertical="center"/>
      <protection locked="0" hidden="1"/>
    </xf>
    <xf numFmtId="165" fontId="34" fillId="0" borderId="22" xfId="303" applyNumberFormat="1" applyFont="1" applyBorder="1" applyAlignment="1" applyProtection="1">
      <alignment horizontal="center"/>
      <protection hidden="1"/>
    </xf>
    <xf numFmtId="4" fontId="26" fillId="0" borderId="0" xfId="303" applyNumberFormat="1" applyFont="1" applyAlignment="1" applyProtection="1">
      <alignment horizontal="center" vertical="center"/>
      <protection hidden="1"/>
    </xf>
    <xf numFmtId="4" fontId="26" fillId="0" borderId="21" xfId="303" applyNumberFormat="1" applyFont="1" applyBorder="1" applyAlignment="1" applyProtection="1">
      <alignment horizontal="center" vertical="center"/>
      <protection hidden="1"/>
    </xf>
    <xf numFmtId="44" fontId="5" fillId="0" borderId="19" xfId="303" applyNumberFormat="1" applyBorder="1" applyAlignment="1" applyProtection="1">
      <alignment horizontal="center" vertical="center"/>
      <protection hidden="1"/>
    </xf>
    <xf numFmtId="44" fontId="5" fillId="0" borderId="18" xfId="303" applyNumberFormat="1" applyBorder="1" applyAlignment="1" applyProtection="1">
      <alignment horizontal="center" vertical="center"/>
      <protection hidden="1"/>
    </xf>
    <xf numFmtId="44" fontId="5" fillId="0" borderId="18" xfId="303" applyNumberFormat="1" applyBorder="1" applyAlignment="1" applyProtection="1">
      <alignment horizontal="left"/>
      <protection locked="0" hidden="1"/>
    </xf>
    <xf numFmtId="0" fontId="5" fillId="0" borderId="20" xfId="303" applyBorder="1" applyProtection="1">
      <protection locked="0" hidden="1"/>
    </xf>
    <xf numFmtId="164" fontId="5" fillId="0" borderId="20" xfId="223" applyNumberFormat="1" applyFont="1" applyFill="1" applyBorder="1" applyAlignment="1" applyProtection="1">
      <alignment horizontal="right"/>
      <protection locked="0" hidden="1"/>
    </xf>
    <xf numFmtId="0" fontId="25" fillId="0" borderId="20" xfId="303" applyFont="1" applyBorder="1" applyAlignment="1" applyProtection="1">
      <alignment horizontal="center" vertical="center" wrapText="1"/>
      <protection locked="0" hidden="1"/>
    </xf>
    <xf numFmtId="0" fontId="25" fillId="0" borderId="17" xfId="303" applyFont="1" applyBorder="1" applyAlignment="1" applyProtection="1">
      <alignment horizontal="left" vertical="center" wrapText="1"/>
      <protection locked="0" hidden="1"/>
    </xf>
    <xf numFmtId="0" fontId="5" fillId="0" borderId="0" xfId="303"/>
    <xf numFmtId="0" fontId="30" fillId="0" borderId="0" xfId="303" applyFont="1" applyAlignment="1" applyProtection="1">
      <alignment horizontal="left"/>
      <protection locked="0" hidden="1"/>
    </xf>
    <xf numFmtId="0" fontId="25" fillId="0" borderId="0" xfId="303" applyFont="1" applyAlignment="1" applyProtection="1">
      <alignment horizontal="left" wrapText="1"/>
      <protection locked="0" hidden="1"/>
    </xf>
    <xf numFmtId="0" fontId="5" fillId="0" borderId="25" xfId="303" applyBorder="1" applyAlignment="1" applyProtection="1">
      <alignment horizontal="center"/>
      <protection locked="0" hidden="1"/>
    </xf>
    <xf numFmtId="0" fontId="25" fillId="0" borderId="25" xfId="303" applyFont="1" applyBorder="1" applyAlignment="1" applyProtection="1">
      <alignment horizontal="left" wrapText="1"/>
      <protection locked="0" hidden="1"/>
    </xf>
    <xf numFmtId="44" fontId="5" fillId="0" borderId="18" xfId="303" applyNumberFormat="1" applyBorder="1" applyAlignment="1" applyProtection="1">
      <alignment horizontal="center" vertical="center"/>
      <protection locked="0" hidden="1"/>
    </xf>
    <xf numFmtId="44" fontId="5" fillId="0" borderId="19" xfId="303" applyNumberFormat="1" applyBorder="1" applyAlignment="1" applyProtection="1">
      <alignment horizontal="center" vertical="center"/>
      <protection locked="0" hidden="1"/>
    </xf>
    <xf numFmtId="4" fontId="26" fillId="0" borderId="21" xfId="303" applyNumberFormat="1" applyFont="1" applyBorder="1" applyAlignment="1" applyProtection="1">
      <alignment horizontal="center" vertical="center"/>
      <protection locked="0" hidden="1"/>
    </xf>
    <xf numFmtId="4" fontId="26" fillId="0" borderId="0" xfId="303" applyNumberFormat="1" applyFont="1" applyAlignment="1" applyProtection="1">
      <alignment horizontal="center" vertical="center"/>
      <protection locked="0" hidden="1"/>
    </xf>
    <xf numFmtId="165" fontId="34" fillId="0" borderId="22" xfId="303" applyNumberFormat="1" applyFont="1" applyBorder="1" applyAlignment="1" applyProtection="1">
      <alignment horizontal="center"/>
      <protection locked="0" hidden="1"/>
    </xf>
    <xf numFmtId="8" fontId="125" fillId="0" borderId="0" xfId="303" applyNumberFormat="1" applyFont="1" applyProtection="1">
      <protection locked="0" hidden="1"/>
    </xf>
    <xf numFmtId="0" fontId="125" fillId="0" borderId="0" xfId="303" applyFont="1" applyProtection="1">
      <protection locked="0" hidden="1"/>
    </xf>
    <xf numFmtId="0" fontId="4" fillId="0" borderId="26" xfId="303" applyFont="1" applyBorder="1" applyProtection="1">
      <protection locked="0" hidden="1"/>
    </xf>
    <xf numFmtId="44" fontId="31" fillId="0" borderId="0" xfId="303" applyNumberFormat="1" applyFont="1" applyAlignment="1" applyProtection="1">
      <alignment horizontal="center"/>
      <protection locked="0" hidden="1"/>
    </xf>
    <xf numFmtId="44" fontId="26" fillId="0" borderId="0" xfId="223" applyFont="1" applyProtection="1">
      <protection locked="0" hidden="1"/>
    </xf>
    <xf numFmtId="44" fontId="26" fillId="0" borderId="0" xfId="303" applyNumberFormat="1" applyFont="1" applyProtection="1">
      <protection locked="0" hidden="1"/>
    </xf>
    <xf numFmtId="44" fontId="31" fillId="0" borderId="0" xfId="303" applyNumberFormat="1" applyFont="1" applyProtection="1">
      <protection locked="0" hidden="1"/>
    </xf>
    <xf numFmtId="167" fontId="26" fillId="0" borderId="0" xfId="303" applyNumberFormat="1" applyFont="1" applyProtection="1">
      <protection locked="0" hidden="1"/>
    </xf>
    <xf numFmtId="44" fontId="25" fillId="0" borderId="17" xfId="303" applyNumberFormat="1" applyFont="1" applyBorder="1" applyAlignment="1" applyProtection="1">
      <alignment horizontal="center" vertical="center" wrapText="1"/>
      <protection locked="0" hidden="1"/>
    </xf>
    <xf numFmtId="168" fontId="34" fillId="0" borderId="0" xfId="303" applyNumberFormat="1" applyFont="1" applyAlignment="1" applyProtection="1">
      <alignment horizontal="center"/>
      <protection locked="0" hidden="1"/>
    </xf>
    <xf numFmtId="0" fontId="26" fillId="0" borderId="20" xfId="303" applyFont="1" applyBorder="1" applyAlignment="1" applyProtection="1">
      <alignment horizontal="center"/>
      <protection locked="0" hidden="1"/>
    </xf>
    <xf numFmtId="0" fontId="42" fillId="0" borderId="17" xfId="303" applyFont="1" applyBorder="1" applyAlignment="1">
      <alignment horizontal="center"/>
    </xf>
    <xf numFmtId="44" fontId="26" fillId="0" borderId="0" xfId="303" applyNumberFormat="1" applyFont="1" applyAlignment="1" applyProtection="1">
      <alignment horizontal="center"/>
      <protection locked="0" hidden="1"/>
    </xf>
    <xf numFmtId="0" fontId="42" fillId="0" borderId="30" xfId="303" applyFont="1" applyBorder="1" applyAlignment="1">
      <alignment horizontal="center"/>
    </xf>
    <xf numFmtId="44" fontId="5" fillId="0" borderId="17" xfId="303" applyNumberFormat="1" applyBorder="1" applyAlignment="1" applyProtection="1">
      <alignment wrapText="1"/>
      <protection locked="0" hidden="1"/>
    </xf>
    <xf numFmtId="0" fontId="42" fillId="0" borderId="30" xfId="303" applyFont="1" applyBorder="1" applyAlignment="1">
      <alignment horizontal="center" wrapText="1"/>
    </xf>
    <xf numFmtId="0" fontId="42" fillId="0" borderId="17" xfId="303" applyFont="1" applyBorder="1" applyAlignment="1">
      <alignment wrapText="1"/>
    </xf>
    <xf numFmtId="44" fontId="5" fillId="0" borderId="39" xfId="303" applyNumberFormat="1" applyBorder="1" applyProtection="1">
      <protection locked="0" hidden="1"/>
    </xf>
    <xf numFmtId="0" fontId="5" fillId="0" borderId="30" xfId="303" applyBorder="1" applyAlignment="1" applyProtection="1">
      <alignment wrapText="1"/>
      <protection locked="0" hidden="1"/>
    </xf>
    <xf numFmtId="165" fontId="5" fillId="0" borderId="0" xfId="303" applyNumberFormat="1" applyAlignment="1" applyProtection="1">
      <alignment horizontal="center"/>
      <protection locked="0" hidden="1"/>
    </xf>
    <xf numFmtId="44" fontId="5" fillId="0" borderId="0" xfId="223" applyAlignment="1" applyProtection="1">
      <alignment horizontal="center"/>
      <protection locked="0" hidden="1"/>
    </xf>
    <xf numFmtId="44" fontId="5" fillId="0" borderId="0" xfId="223" applyProtection="1">
      <protection locked="0" hidden="1"/>
    </xf>
    <xf numFmtId="0" fontId="25" fillId="0" borderId="26" xfId="303" applyFont="1" applyBorder="1" applyAlignment="1" applyProtection="1">
      <alignment horizontal="center" vertical="center" wrapText="1"/>
      <protection locked="0" hidden="1"/>
    </xf>
    <xf numFmtId="44" fontId="34" fillId="0" borderId="17" xfId="223" applyFont="1" applyFill="1" applyBorder="1" applyAlignment="1" applyProtection="1">
      <alignment vertical="center"/>
      <protection locked="0" hidden="1"/>
    </xf>
    <xf numFmtId="44" fontId="34" fillId="0" borderId="17" xfId="303" applyNumberFormat="1" applyFont="1" applyBorder="1" applyAlignment="1" applyProtection="1">
      <alignment horizontal="center" vertical="center"/>
      <protection locked="0" hidden="1"/>
    </xf>
    <xf numFmtId="44" fontId="34" fillId="0" borderId="20" xfId="303" applyNumberFormat="1" applyFont="1" applyBorder="1" applyAlignment="1" applyProtection="1">
      <alignment horizontal="center" vertical="center"/>
      <protection locked="0" hidden="1"/>
    </xf>
    <xf numFmtId="0" fontId="42" fillId="0" borderId="17" xfId="400" applyFont="1" applyBorder="1" applyAlignment="1" applyProtection="1">
      <alignment horizontal="center" vertical="top" wrapText="1"/>
      <protection locked="0" hidden="1"/>
    </xf>
    <xf numFmtId="0" fontId="42" fillId="0" borderId="17" xfId="400" applyFont="1" applyBorder="1" applyAlignment="1" applyProtection="1">
      <alignment vertical="top" wrapText="1"/>
      <protection locked="0" hidden="1"/>
    </xf>
    <xf numFmtId="169" fontId="42" fillId="0" borderId="17" xfId="303" applyNumberFormat="1" applyFont="1" applyBorder="1" applyAlignment="1" applyProtection="1">
      <alignment horizontal="left" wrapText="1"/>
      <protection locked="0" hidden="1"/>
    </xf>
    <xf numFmtId="49" fontId="5" fillId="0" borderId="38" xfId="303" applyNumberFormat="1" applyBorder="1" applyAlignment="1" applyProtection="1">
      <alignment horizontal="left" wrapText="1"/>
      <protection locked="0" hidden="1"/>
    </xf>
    <xf numFmtId="44" fontId="5" fillId="0" borderId="24" xfId="223" applyFont="1" applyFill="1" applyBorder="1" applyAlignment="1" applyProtection="1">
      <protection locked="0" hidden="1"/>
    </xf>
    <xf numFmtId="49" fontId="42" fillId="0" borderId="17" xfId="303" applyNumberFormat="1" applyFont="1" applyBorder="1" applyAlignment="1" applyProtection="1">
      <alignment horizontal="center"/>
      <protection locked="0" hidden="1"/>
    </xf>
    <xf numFmtId="44" fontId="34" fillId="0" borderId="0" xfId="303" applyNumberFormat="1" applyFont="1" applyAlignment="1" applyProtection="1">
      <alignment horizontal="center"/>
      <protection locked="0" hidden="1"/>
    </xf>
    <xf numFmtId="0" fontId="33" fillId="0" borderId="0" xfId="303" applyFont="1" applyAlignment="1" applyProtection="1">
      <alignment horizontal="left" vertical="top" wrapText="1"/>
      <protection locked="0" hidden="1"/>
    </xf>
    <xf numFmtId="0" fontId="28" fillId="0" borderId="0" xfId="303" applyFont="1" applyProtection="1">
      <protection locked="0" hidden="1"/>
    </xf>
    <xf numFmtId="0" fontId="25" fillId="0" borderId="19" xfId="303" applyFont="1" applyBorder="1" applyAlignment="1" applyProtection="1">
      <alignment horizontal="left" vertical="center" wrapText="1"/>
      <protection locked="0" hidden="1"/>
    </xf>
    <xf numFmtId="49" fontId="34" fillId="0" borderId="19" xfId="303" applyNumberFormat="1" applyFont="1" applyBorder="1" applyAlignment="1" applyProtection="1">
      <alignment horizontal="center" vertical="center"/>
      <protection locked="0" hidden="1"/>
    </xf>
    <xf numFmtId="0" fontId="36" fillId="0" borderId="17" xfId="303" applyFont="1" applyBorder="1" applyAlignment="1" applyProtection="1">
      <alignment vertical="center" wrapText="1"/>
      <protection locked="0" hidden="1"/>
    </xf>
    <xf numFmtId="44" fontId="36" fillId="0" borderId="17" xfId="303" applyNumberFormat="1" applyFont="1" applyBorder="1" applyAlignment="1" applyProtection="1">
      <alignment vertical="center" wrapText="1"/>
      <protection locked="0" hidden="1"/>
    </xf>
    <xf numFmtId="44" fontId="41" fillId="0" borderId="17" xfId="223" applyFont="1" applyFill="1" applyBorder="1" applyAlignment="1" applyProtection="1">
      <alignment vertical="center"/>
      <protection locked="0" hidden="1"/>
    </xf>
    <xf numFmtId="44" fontId="34" fillId="0" borderId="17" xfId="223" applyFont="1" applyFill="1" applyBorder="1" applyAlignment="1" applyProtection="1">
      <alignment horizontal="left" vertical="center"/>
      <protection locked="0" hidden="1"/>
    </xf>
    <xf numFmtId="171" fontId="42" fillId="0" borderId="17" xfId="303" applyNumberFormat="1" applyFont="1" applyBorder="1" applyAlignment="1" applyProtection="1">
      <alignment horizontal="center"/>
      <protection locked="0" hidden="1"/>
    </xf>
    <xf numFmtId="169" fontId="42" fillId="0" borderId="17" xfId="303" applyNumberFormat="1" applyFont="1" applyBorder="1" applyAlignment="1" applyProtection="1">
      <alignment wrapText="1"/>
      <protection locked="0" hidden="1"/>
    </xf>
    <xf numFmtId="42" fontId="5" fillId="0" borderId="17" xfId="223" applyNumberFormat="1" applyFont="1" applyFill="1" applyBorder="1" applyAlignment="1" applyProtection="1">
      <alignment horizontal="right" vertical="top"/>
      <protection locked="0" hidden="1"/>
    </xf>
    <xf numFmtId="0" fontId="5" fillId="0" borderId="15" xfId="303" applyBorder="1" applyProtection="1">
      <protection locked="0" hidden="1"/>
    </xf>
    <xf numFmtId="44" fontId="5" fillId="0" borderId="15" xfId="303" applyNumberFormat="1" applyBorder="1" applyProtection="1">
      <protection locked="0" hidden="1"/>
    </xf>
    <xf numFmtId="42" fontId="5" fillId="0" borderId="15" xfId="223" applyNumberFormat="1" applyFont="1" applyFill="1" applyBorder="1" applyAlignment="1" applyProtection="1">
      <alignment horizontal="right" vertical="top"/>
      <protection locked="0" hidden="1"/>
    </xf>
    <xf numFmtId="0" fontId="26" fillId="0" borderId="20" xfId="303" applyFont="1" applyBorder="1" applyAlignment="1" applyProtection="1">
      <alignment horizontal="center" vertical="center" wrapText="1"/>
      <protection locked="0" hidden="1"/>
    </xf>
    <xf numFmtId="42" fontId="5" fillId="0" borderId="18" xfId="223" applyNumberFormat="1" applyFont="1" applyFill="1" applyBorder="1" applyAlignment="1" applyProtection="1">
      <alignment horizontal="right" vertical="top"/>
      <protection locked="0" hidden="1"/>
    </xf>
    <xf numFmtId="44" fontId="41" fillId="0" borderId="17" xfId="223" applyFont="1" applyFill="1" applyBorder="1" applyAlignment="1" applyProtection="1">
      <alignment vertical="center"/>
      <protection hidden="1"/>
    </xf>
    <xf numFmtId="44" fontId="34" fillId="0" borderId="17" xfId="223" applyFont="1" applyFill="1" applyBorder="1" applyAlignment="1" applyProtection="1">
      <alignment horizontal="left" vertical="center"/>
      <protection hidden="1"/>
    </xf>
    <xf numFmtId="42" fontId="5" fillId="0" borderId="17" xfId="223" applyNumberFormat="1" applyFont="1" applyFill="1" applyBorder="1" applyAlignment="1" applyProtection="1">
      <alignment horizontal="right" vertical="top"/>
      <protection hidden="1"/>
    </xf>
    <xf numFmtId="42" fontId="5" fillId="0" borderId="15" xfId="223" applyNumberFormat="1" applyFont="1" applyFill="1" applyBorder="1" applyAlignment="1" applyProtection="1">
      <alignment horizontal="right" vertical="top"/>
      <protection hidden="1"/>
    </xf>
    <xf numFmtId="42" fontId="5" fillId="0" borderId="18" xfId="223" applyNumberFormat="1" applyFont="1" applyFill="1" applyBorder="1" applyAlignment="1" applyProtection="1">
      <alignment horizontal="right" vertical="top"/>
      <protection hidden="1"/>
    </xf>
    <xf numFmtId="0" fontId="5" fillId="0" borderId="16" xfId="223" applyNumberFormat="1" applyFont="1" applyFill="1" applyBorder="1" applyAlignment="1" applyProtection="1">
      <alignment horizontal="center"/>
      <protection locked="0" hidden="1"/>
    </xf>
    <xf numFmtId="0" fontId="5" fillId="0" borderId="17" xfId="223" applyNumberFormat="1" applyFont="1" applyFill="1" applyBorder="1" applyAlignment="1" applyProtection="1">
      <alignment horizontal="center"/>
      <protection locked="0" hidden="1"/>
    </xf>
    <xf numFmtId="0" fontId="42" fillId="0" borderId="17" xfId="303" applyFont="1" applyBorder="1"/>
    <xf numFmtId="0" fontId="43" fillId="0" borderId="0" xfId="303" applyFont="1" applyAlignment="1" applyProtection="1">
      <alignment horizontal="left"/>
      <protection locked="0" hidden="1"/>
    </xf>
    <xf numFmtId="0" fontId="44" fillId="0" borderId="0" xfId="303" applyFont="1" applyAlignment="1" applyProtection="1">
      <alignment horizontal="left"/>
      <protection locked="0" hidden="1"/>
    </xf>
    <xf numFmtId="0" fontId="25" fillId="0" borderId="0" xfId="303" applyFont="1" applyAlignment="1" applyProtection="1">
      <alignment horizontal="left"/>
      <protection locked="0" hidden="1"/>
    </xf>
    <xf numFmtId="0" fontId="35" fillId="0" borderId="0" xfId="303" applyFont="1" applyAlignment="1" applyProtection="1">
      <alignment horizontal="left"/>
      <protection locked="0" hidden="1"/>
    </xf>
    <xf numFmtId="0" fontId="5" fillId="0" borderId="15" xfId="303" applyBorder="1" applyAlignment="1" applyProtection="1">
      <alignment wrapText="1"/>
      <protection locked="0" hidden="1"/>
    </xf>
    <xf numFmtId="44" fontId="42" fillId="0" borderId="16" xfId="303" applyNumberFormat="1" applyFont="1" applyBorder="1" applyProtection="1">
      <protection locked="0" hidden="1"/>
    </xf>
    <xf numFmtId="44" fontId="42" fillId="0" borderId="16" xfId="303" applyNumberFormat="1" applyFont="1" applyBorder="1" applyProtection="1">
      <protection hidden="1"/>
    </xf>
    <xf numFmtId="7" fontId="5" fillId="0" borderId="17" xfId="303" applyNumberFormat="1" applyBorder="1" applyAlignment="1">
      <alignment horizontal="right"/>
    </xf>
    <xf numFmtId="44" fontId="5" fillId="0" borderId="20" xfId="223" applyFont="1" applyFill="1" applyBorder="1" applyAlignment="1" applyProtection="1">
      <protection hidden="1"/>
    </xf>
    <xf numFmtId="0" fontId="42" fillId="0" borderId="0" xfId="303" applyFont="1"/>
    <xf numFmtId="44" fontId="5" fillId="0" borderId="20" xfId="223" applyFont="1" applyFill="1" applyBorder="1" applyAlignment="1" applyProtection="1">
      <protection locked="0" hidden="1"/>
    </xf>
    <xf numFmtId="44" fontId="34" fillId="0" borderId="15" xfId="303" applyNumberFormat="1" applyFont="1" applyBorder="1" applyAlignment="1" applyProtection="1">
      <alignment horizontal="left" wrapText="1"/>
      <protection locked="0" hidden="1"/>
    </xf>
    <xf numFmtId="0" fontId="42" fillId="0" borderId="17" xfId="223" applyNumberFormat="1" applyFont="1" applyFill="1" applyBorder="1" applyAlignment="1" applyProtection="1">
      <alignment horizontal="left"/>
      <protection locked="0" hidden="1"/>
    </xf>
    <xf numFmtId="44" fontId="5" fillId="0" borderId="17" xfId="223" applyFont="1" applyFill="1" applyBorder="1" applyAlignment="1" applyProtection="1">
      <alignment horizontal="right" vertical="center"/>
      <protection locked="0" hidden="1"/>
    </xf>
    <xf numFmtId="0" fontId="26" fillId="24" borderId="33" xfId="303" applyFont="1" applyFill="1" applyBorder="1" applyAlignment="1" applyProtection="1">
      <alignment vertical="center" wrapText="1"/>
      <protection locked="0" hidden="1"/>
    </xf>
    <xf numFmtId="49" fontId="42" fillId="0" borderId="17" xfId="223" applyNumberFormat="1" applyFont="1" applyFill="1" applyBorder="1" applyAlignment="1" applyProtection="1">
      <alignment horizontal="left"/>
      <protection locked="0" hidden="1"/>
    </xf>
    <xf numFmtId="49" fontId="31" fillId="0" borderId="17" xfId="303" applyNumberFormat="1" applyFont="1" applyBorder="1" applyAlignment="1" applyProtection="1">
      <alignment horizontal="left"/>
      <protection locked="0" hidden="1"/>
    </xf>
    <xf numFmtId="49" fontId="42" fillId="0" borderId="17" xfId="223" applyNumberFormat="1" applyFont="1" applyBorder="1" applyAlignment="1" applyProtection="1">
      <alignment horizontal="center" vertical="center"/>
      <protection locked="0" hidden="1"/>
    </xf>
    <xf numFmtId="7" fontId="5" fillId="0" borderId="30" xfId="303" applyNumberFormat="1" applyBorder="1" applyAlignment="1">
      <alignment horizontal="right"/>
    </xf>
    <xf numFmtId="44" fontId="5" fillId="0" borderId="16" xfId="223" applyFont="1" applyFill="1" applyBorder="1" applyAlignment="1" applyProtection="1">
      <alignment horizontal="center" vertical="center"/>
      <protection hidden="1"/>
    </xf>
    <xf numFmtId="44" fontId="5" fillId="0" borderId="17" xfId="223" applyFont="1" applyFill="1" applyBorder="1" applyAlignment="1" applyProtection="1">
      <alignment horizontal="center" vertical="center"/>
      <protection hidden="1"/>
    </xf>
    <xf numFmtId="44" fontId="0" fillId="0" borderId="0" xfId="223" applyFont="1" applyBorder="1" applyAlignment="1" applyProtection="1">
      <alignment horizontal="center"/>
      <protection locked="0" hidden="1"/>
    </xf>
    <xf numFmtId="169" fontId="130" fillId="0" borderId="16" xfId="1" applyNumberFormat="1" applyFont="1" applyBorder="1" applyAlignment="1" applyProtection="1">
      <alignment horizontal="left" vertical="center" wrapText="1"/>
      <protection locked="0" hidden="1"/>
    </xf>
    <xf numFmtId="44" fontId="130" fillId="0" borderId="16" xfId="348" applyNumberFormat="1" applyFont="1" applyBorder="1" applyAlignment="1" applyProtection="1">
      <alignment horizontal="right" vertical="center"/>
      <protection locked="0" hidden="1"/>
    </xf>
    <xf numFmtId="169" fontId="130" fillId="0" borderId="17" xfId="1" applyNumberFormat="1" applyFont="1" applyBorder="1" applyAlignment="1" applyProtection="1">
      <alignment horizontal="left" vertical="center" wrapText="1"/>
      <protection hidden="1"/>
    </xf>
    <xf numFmtId="44" fontId="130" fillId="0" borderId="17" xfId="348" applyNumberFormat="1" applyFont="1" applyBorder="1" applyAlignment="1" applyProtection="1">
      <alignment horizontal="right" vertical="center"/>
      <protection locked="0" hidden="1"/>
    </xf>
    <xf numFmtId="169" fontId="130" fillId="0" borderId="17" xfId="1" applyNumberFormat="1" applyFont="1" applyBorder="1" applyAlignment="1" applyProtection="1">
      <alignment horizontal="left" vertical="center" wrapText="1"/>
      <protection locked="0" hidden="1"/>
    </xf>
    <xf numFmtId="44" fontId="130" fillId="0" borderId="17" xfId="348" applyNumberFormat="1" applyFont="1" applyBorder="1" applyAlignment="1" applyProtection="1">
      <alignment horizontal="right" vertical="center"/>
      <protection hidden="1"/>
    </xf>
    <xf numFmtId="44" fontId="5" fillId="0" borderId="19" xfId="303" applyNumberFormat="1" applyBorder="1" applyProtection="1">
      <protection locked="0" hidden="1"/>
    </xf>
    <xf numFmtId="44" fontId="42" fillId="0" borderId="19" xfId="303" applyNumberFormat="1" applyFont="1" applyBorder="1" applyProtection="1">
      <protection locked="0" hidden="1"/>
    </xf>
    <xf numFmtId="0" fontId="43" fillId="0" borderId="41" xfId="303" applyFont="1" applyBorder="1" applyProtection="1">
      <protection locked="0" hidden="1"/>
    </xf>
    <xf numFmtId="0" fontId="42" fillId="0" borderId="33" xfId="0" applyFont="1" applyBorder="1" applyAlignment="1">
      <alignment horizontal="center"/>
    </xf>
    <xf numFmtId="0" fontId="42" fillId="0" borderId="15" xfId="0" applyFont="1" applyBorder="1" applyAlignment="1">
      <alignment horizontal="center"/>
    </xf>
    <xf numFmtId="0" fontId="42" fillId="0" borderId="16" xfId="0" applyFont="1" applyBorder="1" applyAlignment="1">
      <alignment horizontal="center"/>
    </xf>
    <xf numFmtId="0" fontId="42" fillId="0" borderId="17" xfId="0" applyFont="1" applyBorder="1"/>
    <xf numFmtId="0" fontId="42" fillId="0" borderId="33" xfId="0" applyFont="1" applyBorder="1"/>
    <xf numFmtId="0" fontId="42" fillId="0" borderId="15" xfId="0" applyFont="1" applyBorder="1"/>
    <xf numFmtId="0" fontId="42" fillId="0" borderId="16" xfId="0" applyFont="1" applyBorder="1"/>
    <xf numFmtId="44" fontId="34" fillId="0" borderId="17" xfId="223" applyFont="1" applyFill="1" applyBorder="1" applyAlignment="1" applyProtection="1">
      <alignment horizontal="right" vertical="center"/>
      <protection locked="0" hidden="1"/>
    </xf>
    <xf numFmtId="164" fontId="5" fillId="0" borderId="17" xfId="223" applyNumberFormat="1" applyFont="1" applyFill="1" applyBorder="1" applyAlignment="1" applyProtection="1">
      <alignment horizontal="right" vertical="center"/>
      <protection locked="0" hidden="1"/>
    </xf>
    <xf numFmtId="164" fontId="5" fillId="0" borderId="15" xfId="223" applyNumberFormat="1" applyFont="1" applyFill="1" applyBorder="1" applyAlignment="1" applyProtection="1">
      <alignment horizontal="right" vertical="center"/>
      <protection locked="0" hidden="1"/>
    </xf>
    <xf numFmtId="164" fontId="5" fillId="0" borderId="18" xfId="223" applyNumberFormat="1" applyFont="1" applyFill="1" applyBorder="1" applyAlignment="1" applyProtection="1">
      <alignment horizontal="right" vertical="center"/>
      <protection locked="0" hidden="1"/>
    </xf>
    <xf numFmtId="44" fontId="34" fillId="0" borderId="17" xfId="223" applyFont="1" applyFill="1" applyBorder="1" applyAlignment="1" applyProtection="1">
      <alignment horizontal="right" vertical="center"/>
      <protection hidden="1"/>
    </xf>
    <xf numFmtId="164" fontId="5" fillId="0" borderId="18" xfId="223" applyNumberFormat="1" applyFont="1" applyFill="1" applyBorder="1" applyAlignment="1" applyProtection="1">
      <alignment horizontal="right" vertical="center"/>
      <protection hidden="1"/>
    </xf>
    <xf numFmtId="164" fontId="5" fillId="0" borderId="15" xfId="223" applyNumberFormat="1" applyFont="1" applyFill="1" applyBorder="1" applyAlignment="1" applyProtection="1">
      <alignment horizontal="right" vertical="center"/>
      <protection hidden="1"/>
    </xf>
    <xf numFmtId="44" fontId="34" fillId="0" borderId="17" xfId="222" applyFont="1" applyFill="1" applyBorder="1" applyAlignment="1" applyProtection="1">
      <alignment horizontal="right" vertical="center"/>
      <protection hidden="1"/>
    </xf>
    <xf numFmtId="44" fontId="34" fillId="0" borderId="17" xfId="0" applyNumberFormat="1" applyFont="1" applyBorder="1" applyAlignment="1" applyProtection="1">
      <alignment vertical="center" wrapText="1"/>
      <protection locked="0" hidden="1"/>
    </xf>
    <xf numFmtId="44" fontId="5" fillId="0" borderId="15" xfId="0" applyNumberFormat="1" applyFont="1" applyBorder="1" applyProtection="1">
      <protection locked="0" hidden="1"/>
    </xf>
    <xf numFmtId="44" fontId="5" fillId="0" borderId="18" xfId="0" applyNumberFormat="1" applyFont="1" applyBorder="1" applyProtection="1">
      <protection locked="0" hidden="1"/>
    </xf>
    <xf numFmtId="0" fontId="34" fillId="0" borderId="17" xfId="303" applyFont="1" applyBorder="1" applyAlignment="1" applyProtection="1">
      <alignment vertical="center" wrapText="1"/>
      <protection locked="0" hidden="1"/>
    </xf>
    <xf numFmtId="44" fontId="34" fillId="0" borderId="17" xfId="303" applyNumberFormat="1" applyFont="1" applyBorder="1" applyAlignment="1" applyProtection="1">
      <alignment vertical="center" wrapText="1"/>
      <protection locked="0" hidden="1"/>
    </xf>
    <xf numFmtId="164" fontId="5" fillId="0" borderId="17" xfId="222" applyNumberFormat="1" applyFont="1" applyFill="1" applyBorder="1" applyAlignment="1" applyProtection="1">
      <alignment horizontal="right"/>
      <protection locked="0" hidden="1"/>
    </xf>
    <xf numFmtId="164" fontId="5" fillId="0" borderId="18" xfId="222" applyNumberFormat="1" applyFont="1" applyFill="1" applyBorder="1" applyAlignment="1" applyProtection="1">
      <alignment horizontal="right"/>
      <protection locked="0" hidden="1"/>
    </xf>
    <xf numFmtId="44" fontId="5" fillId="0" borderId="18" xfId="222" applyFont="1" applyFill="1" applyBorder="1" applyAlignment="1" applyProtection="1">
      <alignment horizontal="right"/>
      <protection locked="0" hidden="1"/>
    </xf>
    <xf numFmtId="44" fontId="5" fillId="0" borderId="17" xfId="0" applyNumberFormat="1" applyFont="1" applyBorder="1" applyAlignment="1" applyProtection="1">
      <alignment horizontal="right" vertical="top" wrapText="1"/>
      <protection locked="0" hidden="1"/>
    </xf>
    <xf numFmtId="44" fontId="34" fillId="0" borderId="0" xfId="222" applyFont="1" applyFill="1" applyAlignment="1" applyProtection="1">
      <alignment horizontal="center"/>
      <protection hidden="1"/>
    </xf>
    <xf numFmtId="44" fontId="5" fillId="0" borderId="17" xfId="0" applyNumberFormat="1" applyFont="1" applyBorder="1" applyAlignment="1" applyProtection="1">
      <alignment horizontal="right" wrapText="1"/>
      <protection locked="0" hidden="1"/>
    </xf>
    <xf numFmtId="44" fontId="31" fillId="0" borderId="17" xfId="0" applyNumberFormat="1" applyFont="1" applyBorder="1" applyProtection="1">
      <protection locked="0" hidden="1"/>
    </xf>
    <xf numFmtId="164" fontId="5" fillId="0" borderId="20" xfId="222" applyNumberFormat="1" applyFont="1" applyFill="1" applyBorder="1" applyAlignment="1" applyProtection="1">
      <alignment horizontal="right"/>
      <protection locked="0" hidden="1"/>
    </xf>
    <xf numFmtId="44" fontId="5" fillId="0" borderId="17" xfId="222" applyFont="1" applyFill="1" applyBorder="1" applyAlignment="1" applyProtection="1">
      <alignment horizontal="right"/>
      <protection locked="0" hidden="1"/>
    </xf>
    <xf numFmtId="44" fontId="5" fillId="0" borderId="17" xfId="0" applyNumberFormat="1" applyFont="1" applyBorder="1" applyAlignment="1" applyProtection="1">
      <alignment horizontal="left"/>
      <protection locked="0" hidden="1"/>
    </xf>
    <xf numFmtId="44" fontId="5" fillId="0" borderId="18" xfId="0" applyNumberFormat="1" applyFont="1" applyBorder="1" applyAlignment="1" applyProtection="1">
      <alignment horizontal="left"/>
      <protection locked="0" hidden="1"/>
    </xf>
    <xf numFmtId="164" fontId="5" fillId="0" borderId="17" xfId="222" applyNumberFormat="1" applyFont="1" applyFill="1" applyBorder="1" applyAlignment="1" applyProtection="1">
      <alignment horizontal="right"/>
      <protection hidden="1"/>
    </xf>
    <xf numFmtId="164" fontId="5" fillId="0" borderId="20" xfId="222" applyNumberFormat="1" applyFont="1" applyFill="1" applyBorder="1" applyAlignment="1" applyProtection="1">
      <alignment horizontal="right"/>
      <protection hidden="1"/>
    </xf>
    <xf numFmtId="44" fontId="5" fillId="0" borderId="17" xfId="222" applyFont="1" applyFill="1" applyBorder="1" applyAlignment="1" applyProtection="1">
      <alignment horizontal="right"/>
      <protection hidden="1"/>
    </xf>
    <xf numFmtId="164" fontId="5" fillId="0" borderId="18" xfId="222" applyNumberFormat="1" applyFont="1" applyFill="1" applyBorder="1" applyAlignment="1" applyProtection="1">
      <alignment horizontal="right"/>
      <protection hidden="1"/>
    </xf>
    <xf numFmtId="164" fontId="5" fillId="0" borderId="15" xfId="222" applyNumberFormat="1" applyFont="1" applyFill="1" applyBorder="1" applyAlignment="1" applyProtection="1">
      <alignment horizontal="right"/>
      <protection hidden="1"/>
    </xf>
    <xf numFmtId="164" fontId="5" fillId="0" borderId="23" xfId="222" applyNumberFormat="1" applyFont="1" applyFill="1" applyBorder="1" applyAlignment="1" applyProtection="1">
      <alignment horizontal="right"/>
      <protection hidden="1"/>
    </xf>
    <xf numFmtId="44" fontId="5" fillId="0" borderId="15" xfId="222" applyFont="1" applyFill="1" applyBorder="1" applyAlignment="1" applyProtection="1">
      <alignment horizontal="right"/>
      <protection hidden="1"/>
    </xf>
    <xf numFmtId="0" fontId="5" fillId="0" borderId="15" xfId="0" applyFont="1" applyBorder="1" applyAlignment="1" applyProtection="1">
      <alignment horizontal="left"/>
      <protection locked="0" hidden="1"/>
    </xf>
    <xf numFmtId="44" fontId="5" fillId="0" borderId="15" xfId="0" applyNumberFormat="1" applyFont="1" applyBorder="1" applyAlignment="1" applyProtection="1">
      <alignment vertical="top"/>
      <protection locked="0" hidden="1"/>
    </xf>
    <xf numFmtId="164" fontId="5" fillId="0" borderId="15" xfId="222" applyNumberFormat="1" applyFont="1" applyFill="1" applyBorder="1" applyAlignment="1" applyProtection="1">
      <alignment horizontal="right" vertical="center"/>
      <protection locked="0" hidden="1"/>
    </xf>
    <xf numFmtId="164" fontId="5" fillId="0" borderId="15" xfId="222" applyNumberFormat="1" applyFont="1" applyFill="1" applyBorder="1" applyAlignment="1" applyProtection="1">
      <alignment horizontal="right"/>
      <protection locked="0" hidden="1"/>
    </xf>
    <xf numFmtId="0" fontId="5" fillId="0" borderId="0" xfId="0" applyFont="1" applyAlignment="1" applyProtection="1">
      <alignment horizontal="center" wrapText="1"/>
      <protection locked="0" hidden="1"/>
    </xf>
    <xf numFmtId="0" fontId="5" fillId="0" borderId="20" xfId="0" applyFont="1" applyBorder="1" applyAlignment="1" applyProtection="1">
      <alignment horizontal="center" wrapText="1"/>
      <protection locked="0" hidden="1"/>
    </xf>
    <xf numFmtId="0" fontId="5" fillId="0" borderId="18" xfId="0" applyFont="1" applyBorder="1" applyAlignment="1" applyProtection="1">
      <alignment vertical="top"/>
      <protection locked="0" hidden="1"/>
    </xf>
    <xf numFmtId="44" fontId="5" fillId="0" borderId="18" xfId="0" applyNumberFormat="1" applyFont="1" applyBorder="1" applyAlignment="1" applyProtection="1">
      <alignment vertical="top"/>
      <protection locked="0" hidden="1"/>
    </xf>
    <xf numFmtId="164" fontId="5" fillId="0" borderId="18" xfId="222" applyNumberFormat="1" applyFont="1" applyFill="1" applyBorder="1" applyAlignment="1" applyProtection="1">
      <alignment horizontal="right" vertical="center"/>
      <protection locked="0" hidden="1"/>
    </xf>
    <xf numFmtId="164" fontId="5" fillId="0" borderId="15" xfId="222" applyNumberFormat="1" applyFont="1" applyFill="1" applyBorder="1" applyAlignment="1" applyProtection="1">
      <alignment horizontal="right" vertical="center"/>
      <protection hidden="1"/>
    </xf>
    <xf numFmtId="44" fontId="5" fillId="0" borderId="18" xfId="222" applyFont="1" applyFill="1" applyBorder="1" applyAlignment="1" applyProtection="1">
      <alignment horizontal="right"/>
      <protection hidden="1"/>
    </xf>
    <xf numFmtId="0" fontId="5" fillId="24" borderId="15" xfId="0" applyFont="1" applyFill="1" applyBorder="1" applyAlignment="1" applyProtection="1">
      <alignment horizontal="center" wrapText="1"/>
      <protection locked="0" hidden="1"/>
    </xf>
    <xf numFmtId="44" fontId="5" fillId="0" borderId="0" xfId="0" applyNumberFormat="1" applyFont="1" applyAlignment="1" applyProtection="1">
      <alignment horizontal="center" wrapText="1"/>
      <protection locked="0" hidden="1"/>
    </xf>
    <xf numFmtId="0" fontId="5" fillId="24" borderId="33" xfId="0" applyFont="1" applyFill="1" applyBorder="1" applyAlignment="1" applyProtection="1">
      <alignment horizontal="center"/>
      <protection locked="0" hidden="1"/>
    </xf>
    <xf numFmtId="0" fontId="5" fillId="24" borderId="33" xfId="0" applyFont="1" applyFill="1" applyBorder="1" applyAlignment="1" applyProtection="1">
      <alignment horizontal="center" wrapText="1"/>
      <protection locked="0" hidden="1"/>
    </xf>
    <xf numFmtId="0" fontId="5" fillId="24" borderId="16" xfId="0" applyFont="1" applyFill="1" applyBorder="1" applyAlignment="1" applyProtection="1">
      <alignment horizontal="center"/>
      <protection locked="0" hidden="1"/>
    </xf>
    <xf numFmtId="164" fontId="5" fillId="0" borderId="0" xfId="222" applyNumberFormat="1" applyFont="1" applyAlignment="1" applyProtection="1">
      <protection locked="0" hidden="1"/>
    </xf>
    <xf numFmtId="44" fontId="5" fillId="0" borderId="0" xfId="0" applyNumberFormat="1" applyFont="1" applyAlignment="1" applyProtection="1">
      <alignment horizontal="center"/>
      <protection locked="0" hidden="1"/>
    </xf>
    <xf numFmtId="42" fontId="5" fillId="0" borderId="15" xfId="222" applyNumberFormat="1" applyFont="1" applyFill="1" applyBorder="1" applyAlignment="1" applyProtection="1">
      <alignment horizontal="right" vertical="top"/>
      <protection hidden="1"/>
    </xf>
    <xf numFmtId="42" fontId="5" fillId="0" borderId="18" xfId="222" applyNumberFormat="1" applyFont="1" applyFill="1" applyBorder="1" applyAlignment="1" applyProtection="1">
      <alignment horizontal="right" vertical="top"/>
      <protection locked="0" hidden="1"/>
    </xf>
    <xf numFmtId="42" fontId="5" fillId="0" borderId="18" xfId="222" applyNumberFormat="1" applyFont="1" applyFill="1" applyBorder="1" applyAlignment="1" applyProtection="1">
      <alignment horizontal="right" vertical="top"/>
      <protection hidden="1"/>
    </xf>
    <xf numFmtId="0" fontId="5" fillId="0" borderId="16" xfId="222" applyNumberFormat="1" applyFont="1" applyFill="1" applyBorder="1" applyAlignment="1" applyProtection="1">
      <alignment horizontal="center"/>
      <protection locked="0" hidden="1"/>
    </xf>
    <xf numFmtId="0" fontId="5" fillId="0" borderId="17" xfId="222" applyNumberFormat="1" applyFont="1" applyFill="1" applyBorder="1" applyAlignment="1" applyProtection="1">
      <alignment horizontal="center"/>
      <protection locked="0" hidden="1"/>
    </xf>
    <xf numFmtId="49" fontId="56" fillId="0" borderId="16" xfId="341" applyNumberFormat="1" applyFont="1" applyBorder="1" applyAlignment="1" applyProtection="1">
      <alignment horizontal="center"/>
      <protection locked="0" hidden="1"/>
    </xf>
    <xf numFmtId="44" fontId="56" fillId="0" borderId="16" xfId="341" applyNumberFormat="1" applyFont="1" applyBorder="1" applyProtection="1">
      <protection locked="0" hidden="1"/>
    </xf>
    <xf numFmtId="44" fontId="56" fillId="0" borderId="17" xfId="341" applyNumberFormat="1" applyFont="1" applyBorder="1" applyProtection="1">
      <protection locked="0" hidden="1"/>
    </xf>
    <xf numFmtId="49" fontId="56" fillId="0" borderId="17" xfId="341" applyNumberFormat="1" applyFont="1" applyBorder="1" applyAlignment="1" applyProtection="1">
      <alignment horizontal="center"/>
      <protection hidden="1"/>
    </xf>
    <xf numFmtId="8" fontId="56" fillId="0" borderId="16" xfId="341" applyNumberFormat="1" applyFont="1" applyBorder="1" applyProtection="1">
      <protection locked="0" hidden="1"/>
    </xf>
    <xf numFmtId="8" fontId="56" fillId="0" borderId="17" xfId="341" applyNumberFormat="1" applyFont="1" applyBorder="1" applyProtection="1">
      <protection locked="0" hidden="1"/>
    </xf>
    <xf numFmtId="0" fontId="5" fillId="0" borderId="17" xfId="374" applyFont="1" applyBorder="1" applyAlignment="1" applyProtection="1">
      <alignment horizontal="left" wrapText="1"/>
      <protection locked="0" hidden="1"/>
    </xf>
    <xf numFmtId="1" fontId="42" fillId="0" borderId="17" xfId="1" applyNumberFormat="1" applyFont="1" applyBorder="1" applyAlignment="1" applyProtection="1">
      <alignment horizontal="center"/>
      <protection locked="0" hidden="1"/>
    </xf>
    <xf numFmtId="0" fontId="5" fillId="0" borderId="17" xfId="343" applyNumberFormat="1" applyBorder="1" applyAlignment="1" applyProtection="1">
      <alignment horizontal="center"/>
      <protection locked="0" hidden="1"/>
    </xf>
    <xf numFmtId="169" fontId="42" fillId="0" borderId="17" xfId="1" applyNumberFormat="1" applyFont="1" applyBorder="1" applyAlignment="1" applyProtection="1">
      <alignment horizontal="center"/>
      <protection locked="0" hidden="1"/>
    </xf>
    <xf numFmtId="44" fontId="30" fillId="0" borderId="0" xfId="303" applyNumberFormat="1" applyFont="1" applyAlignment="1" applyProtection="1">
      <alignment horizontal="center"/>
      <protection locked="0" hidden="1"/>
    </xf>
    <xf numFmtId="0" fontId="5" fillId="0" borderId="16" xfId="303" applyBorder="1" applyAlignment="1" applyProtection="1">
      <alignment horizontal="center"/>
      <protection locked="0" hidden="1"/>
    </xf>
    <xf numFmtId="0" fontId="55" fillId="0" borderId="0" xfId="303" applyFont="1" applyProtection="1">
      <protection locked="0" hidden="1"/>
    </xf>
    <xf numFmtId="0" fontId="55" fillId="0" borderId="0" xfId="303" applyFont="1" applyAlignment="1" applyProtection="1">
      <alignment horizontal="left"/>
      <protection locked="0" hidden="1"/>
    </xf>
    <xf numFmtId="0" fontId="55" fillId="0" borderId="0" xfId="303" applyFont="1" applyAlignment="1" applyProtection="1">
      <alignment horizontal="center"/>
      <protection locked="0" hidden="1"/>
    </xf>
    <xf numFmtId="164" fontId="26" fillId="0" borderId="0" xfId="223" applyNumberFormat="1" applyFont="1" applyAlignment="1" applyProtection="1">
      <alignment horizontal="center"/>
      <protection locked="0" hidden="1"/>
    </xf>
    <xf numFmtId="3" fontId="55" fillId="0" borderId="0" xfId="303" applyNumberFormat="1" applyFont="1" applyAlignment="1" applyProtection="1">
      <alignment horizontal="left"/>
      <protection locked="0" hidden="1"/>
    </xf>
    <xf numFmtId="3" fontId="55" fillId="0" borderId="0" xfId="303" applyNumberFormat="1" applyFont="1" applyAlignment="1" applyProtection="1">
      <alignment horizontal="center"/>
      <protection locked="0" hidden="1"/>
    </xf>
    <xf numFmtId="44" fontId="32" fillId="0" borderId="0" xfId="303" applyNumberFormat="1" applyFont="1" applyProtection="1">
      <protection locked="0" hidden="1"/>
    </xf>
    <xf numFmtId="0" fontId="56" fillId="0" borderId="0" xfId="303" applyFont="1" applyAlignment="1" applyProtection="1">
      <alignment horizontal="center"/>
      <protection locked="0" hidden="1"/>
    </xf>
    <xf numFmtId="0" fontId="37" fillId="0" borderId="0" xfId="303" applyFont="1" applyAlignment="1" applyProtection="1">
      <alignment horizontal="center" wrapText="1"/>
      <protection locked="0" hidden="1"/>
    </xf>
    <xf numFmtId="0" fontId="56" fillId="0" borderId="22" xfId="303" applyFont="1" applyBorder="1" applyAlignment="1" applyProtection="1">
      <alignment horizontal="left"/>
      <protection locked="0" hidden="1"/>
    </xf>
    <xf numFmtId="166" fontId="5" fillId="0" borderId="0" xfId="303" applyNumberFormat="1" applyProtection="1">
      <protection locked="0" hidden="1"/>
    </xf>
    <xf numFmtId="166" fontId="56" fillId="0" borderId="22" xfId="303" applyNumberFormat="1" applyFont="1" applyBorder="1" applyAlignment="1" applyProtection="1">
      <alignment horizontal="left"/>
      <protection locked="0" hidden="1"/>
    </xf>
    <xf numFmtId="0" fontId="57" fillId="0" borderId="0" xfId="303" applyFont="1" applyAlignment="1" applyProtection="1">
      <alignment horizontal="center" vertical="center" wrapText="1"/>
      <protection locked="0" hidden="1"/>
    </xf>
    <xf numFmtId="0" fontId="59" fillId="0" borderId="17" xfId="303" applyFont="1" applyBorder="1" applyAlignment="1" applyProtection="1">
      <alignment horizontal="center" vertical="center" wrapText="1"/>
      <protection locked="0" hidden="1"/>
    </xf>
    <xf numFmtId="0" fontId="60" fillId="0" borderId="0" xfId="303" applyFont="1" applyAlignment="1" applyProtection="1">
      <alignment horizontal="center"/>
      <protection locked="0" hidden="1"/>
    </xf>
    <xf numFmtId="0" fontId="60" fillId="0" borderId="17" xfId="303" applyFont="1" applyBorder="1" applyAlignment="1" applyProtection="1">
      <alignment horizontal="center" vertical="center"/>
      <protection locked="0" hidden="1"/>
    </xf>
    <xf numFmtId="0" fontId="60" fillId="0" borderId="17" xfId="303" applyFont="1" applyBorder="1" applyAlignment="1" applyProtection="1">
      <alignment horizontal="left" vertical="center" wrapText="1"/>
      <protection locked="0" hidden="1"/>
    </xf>
    <xf numFmtId="44" fontId="60" fillId="0" borderId="17" xfId="303" applyNumberFormat="1" applyFont="1" applyBorder="1" applyAlignment="1" applyProtection="1">
      <alignment horizontal="center" vertical="center" wrapText="1"/>
      <protection locked="0" hidden="1"/>
    </xf>
    <xf numFmtId="44" fontId="60" fillId="0" borderId="17" xfId="223" applyFont="1" applyFill="1" applyBorder="1" applyAlignment="1" applyProtection="1">
      <alignment horizontal="center" vertical="center"/>
      <protection hidden="1"/>
    </xf>
    <xf numFmtId="49" fontId="66" fillId="0" borderId="16" xfId="223" applyNumberFormat="1" applyFont="1" applyFill="1" applyBorder="1" applyAlignment="1" applyProtection="1">
      <alignment horizontal="center" vertical="center"/>
      <protection locked="0" hidden="1"/>
    </xf>
    <xf numFmtId="0" fontId="66" fillId="0" borderId="16" xfId="303" applyFont="1" applyBorder="1" applyAlignment="1" applyProtection="1">
      <alignment horizontal="center" vertical="top" wrapText="1"/>
      <protection locked="0" hidden="1"/>
    </xf>
    <xf numFmtId="44" fontId="66" fillId="0" borderId="16" xfId="303" applyNumberFormat="1" applyFont="1" applyBorder="1" applyAlignment="1" applyProtection="1">
      <alignment wrapText="1"/>
      <protection locked="0" hidden="1"/>
    </xf>
    <xf numFmtId="44" fontId="56" fillId="0" borderId="0" xfId="303" applyNumberFormat="1" applyFont="1" applyAlignment="1" applyProtection="1">
      <alignment horizontal="center"/>
      <protection locked="0" hidden="1"/>
    </xf>
    <xf numFmtId="49" fontId="66" fillId="0" borderId="17" xfId="223" applyNumberFormat="1" applyFont="1" applyFill="1" applyBorder="1" applyAlignment="1" applyProtection="1">
      <alignment horizontal="center" vertical="center"/>
      <protection hidden="1"/>
    </xf>
    <xf numFmtId="0" fontId="66" fillId="0" borderId="17" xfId="303" applyFont="1" applyBorder="1" applyAlignment="1" applyProtection="1">
      <alignment horizontal="center" vertical="top" wrapText="1"/>
      <protection locked="0" hidden="1"/>
    </xf>
    <xf numFmtId="44" fontId="66" fillId="0" borderId="17" xfId="303" applyNumberFormat="1" applyFont="1" applyBorder="1" applyAlignment="1" applyProtection="1">
      <alignment wrapText="1"/>
      <protection locked="0" hidden="1"/>
    </xf>
    <xf numFmtId="0" fontId="66" fillId="0" borderId="17" xfId="303" applyFont="1" applyBorder="1" applyAlignment="1" applyProtection="1">
      <alignment horizontal="center" vertical="top" wrapText="1"/>
      <protection hidden="1"/>
    </xf>
    <xf numFmtId="44" fontId="66" fillId="0" borderId="17" xfId="303" applyNumberFormat="1" applyFont="1" applyBorder="1" applyAlignment="1" applyProtection="1">
      <alignment wrapText="1"/>
      <protection hidden="1"/>
    </xf>
    <xf numFmtId="0" fontId="62" fillId="0" borderId="0" xfId="303" applyFont="1" applyAlignment="1" applyProtection="1">
      <alignment horizontal="right"/>
      <protection locked="0" hidden="1"/>
    </xf>
    <xf numFmtId="44" fontId="60" fillId="0" borderId="0" xfId="303" applyNumberFormat="1" applyFont="1" applyProtection="1">
      <protection hidden="1"/>
    </xf>
    <xf numFmtId="164" fontId="5" fillId="0" borderId="0" xfId="223" applyNumberFormat="1" applyProtection="1">
      <protection hidden="1"/>
    </xf>
    <xf numFmtId="0" fontId="4" fillId="0" borderId="0" xfId="303" applyFont="1" applyProtection="1">
      <protection locked="0" hidden="1"/>
    </xf>
    <xf numFmtId="0" fontId="4" fillId="0" borderId="0" xfId="303" applyFont="1" applyProtection="1">
      <protection hidden="1"/>
    </xf>
    <xf numFmtId="0" fontId="25" fillId="0" borderId="0" xfId="303" applyFont="1" applyAlignment="1" applyProtection="1">
      <alignment horizontal="center"/>
      <protection locked="0" hidden="1"/>
    </xf>
    <xf numFmtId="0" fontId="56" fillId="0" borderId="0" xfId="303" applyFont="1" applyAlignment="1" applyProtection="1">
      <alignment horizontal="right"/>
      <protection locked="0" hidden="1"/>
    </xf>
    <xf numFmtId="164" fontId="26" fillId="0" borderId="0" xfId="223" applyNumberFormat="1" applyFont="1" applyFill="1" applyBorder="1" applyAlignment="1" applyProtection="1">
      <alignment horizontal="center" vertical="center" wrapText="1"/>
      <protection locked="0" hidden="1"/>
    </xf>
    <xf numFmtId="49" fontId="66" fillId="0" borderId="17" xfId="223" applyNumberFormat="1" applyFont="1" applyFill="1" applyBorder="1" applyAlignment="1" applyProtection="1">
      <alignment horizontal="center" vertical="center"/>
      <protection locked="0" hidden="1"/>
    </xf>
    <xf numFmtId="166" fontId="88" fillId="0" borderId="0" xfId="303" applyNumberFormat="1" applyFont="1" applyAlignment="1">
      <alignment horizontal="center" vertical="center"/>
    </xf>
    <xf numFmtId="0" fontId="61" fillId="0" borderId="0" xfId="303" applyFont="1" applyAlignment="1" applyProtection="1">
      <alignment horizontal="center"/>
      <protection locked="0" hidden="1"/>
    </xf>
    <xf numFmtId="0" fontId="60" fillId="0" borderId="17" xfId="303" applyFont="1" applyBorder="1" applyAlignment="1" applyProtection="1">
      <alignment vertical="center" wrapText="1"/>
      <protection locked="0" hidden="1"/>
    </xf>
    <xf numFmtId="44" fontId="60" fillId="0" borderId="17" xfId="223" applyFont="1" applyFill="1" applyBorder="1" applyAlignment="1" applyProtection="1">
      <alignment horizontal="center" vertical="center"/>
      <protection locked="0" hidden="1"/>
    </xf>
    <xf numFmtId="0" fontId="130" fillId="0" borderId="16" xfId="303" applyFont="1" applyBorder="1" applyAlignment="1" applyProtection="1">
      <alignment horizontal="center" vertical="center" wrapText="1"/>
      <protection locked="0" hidden="1"/>
    </xf>
    <xf numFmtId="44" fontId="130" fillId="0" borderId="16" xfId="303" applyNumberFormat="1" applyFont="1" applyBorder="1" applyAlignment="1" applyProtection="1">
      <alignment vertical="center" wrapText="1"/>
      <protection locked="0" hidden="1"/>
    </xf>
    <xf numFmtId="0" fontId="130" fillId="0" borderId="17" xfId="303" applyFont="1" applyBorder="1" applyAlignment="1" applyProtection="1">
      <alignment horizontal="center" vertical="center" wrapText="1"/>
      <protection hidden="1"/>
    </xf>
    <xf numFmtId="44" fontId="130" fillId="0" borderId="17" xfId="303" applyNumberFormat="1" applyFont="1" applyBorder="1" applyAlignment="1" applyProtection="1">
      <alignment vertical="center" wrapText="1"/>
      <protection hidden="1"/>
    </xf>
    <xf numFmtId="0" fontId="130" fillId="0" borderId="17" xfId="303" applyFont="1" applyBorder="1" applyAlignment="1" applyProtection="1">
      <alignment horizontal="center" vertical="center" wrapText="1"/>
      <protection locked="0" hidden="1"/>
    </xf>
    <xf numFmtId="44" fontId="130" fillId="0" borderId="17" xfId="303" applyNumberFormat="1" applyFont="1" applyBorder="1" applyAlignment="1" applyProtection="1">
      <alignment vertical="center" wrapText="1"/>
      <protection locked="0" hidden="1"/>
    </xf>
    <xf numFmtId="44" fontId="60" fillId="0" borderId="0" xfId="303" applyNumberFormat="1" applyFont="1" applyProtection="1">
      <protection locked="0" hidden="1"/>
    </xf>
    <xf numFmtId="44" fontId="54" fillId="0" borderId="0" xfId="303" applyNumberFormat="1" applyFont="1" applyAlignment="1" applyProtection="1">
      <alignment vertical="center"/>
      <protection locked="0" hidden="1"/>
    </xf>
    <xf numFmtId="0" fontId="56" fillId="0" borderId="0" xfId="303" applyFont="1" applyAlignment="1" applyProtection="1">
      <alignment horizontal="center" vertical="center"/>
      <protection locked="0" hidden="1"/>
    </xf>
    <xf numFmtId="0" fontId="67" fillId="0" borderId="30" xfId="303" applyFont="1" applyBorder="1" applyAlignment="1" applyProtection="1">
      <alignment horizontal="left" vertical="top" wrapText="1"/>
      <protection locked="0" hidden="1"/>
    </xf>
    <xf numFmtId="0" fontId="88" fillId="0" borderId="40" xfId="303" applyFont="1" applyBorder="1" applyAlignment="1" applyProtection="1">
      <alignment horizontal="center" vertical="center" wrapText="1"/>
      <protection locked="0" hidden="1"/>
    </xf>
    <xf numFmtId="0" fontId="128" fillId="0" borderId="30" xfId="303" applyFont="1" applyBorder="1" applyAlignment="1" applyProtection="1">
      <alignment horizontal="center" vertical="center" wrapText="1"/>
      <protection locked="0" hidden="1"/>
    </xf>
    <xf numFmtId="0" fontId="64" fillId="24" borderId="16" xfId="303" applyFont="1" applyFill="1" applyBorder="1" applyAlignment="1" applyProtection="1">
      <alignment horizontal="center"/>
      <protection locked="0" hidden="1"/>
    </xf>
    <xf numFmtId="49" fontId="90" fillId="0" borderId="16" xfId="223" applyNumberFormat="1" applyFont="1" applyFill="1" applyBorder="1" applyAlignment="1" applyProtection="1">
      <alignment horizontal="center" vertical="center"/>
      <protection locked="0" hidden="1"/>
    </xf>
    <xf numFmtId="0" fontId="64" fillId="0" borderId="0" xfId="303" applyFont="1" applyAlignment="1" applyProtection="1">
      <alignment horizontal="center"/>
      <protection locked="0" hidden="1"/>
    </xf>
    <xf numFmtId="0" fontId="88" fillId="0" borderId="30" xfId="303" applyFont="1" applyBorder="1" applyAlignment="1" applyProtection="1">
      <alignment horizontal="center" vertical="center" wrapText="1"/>
      <protection locked="0" hidden="1"/>
    </xf>
    <xf numFmtId="0" fontId="36" fillId="0" borderId="0" xfId="303" applyFont="1" applyProtection="1">
      <protection locked="0" hidden="1"/>
    </xf>
    <xf numFmtId="172" fontId="5" fillId="0" borderId="0" xfId="303" applyNumberFormat="1" applyProtection="1">
      <protection locked="0" hidden="1"/>
    </xf>
    <xf numFmtId="49" fontId="5" fillId="0" borderId="16" xfId="223" applyNumberFormat="1" applyFont="1" applyFill="1" applyBorder="1" applyAlignment="1" applyProtection="1">
      <alignment horizontal="center" vertical="center"/>
      <protection locked="0" hidden="1"/>
    </xf>
    <xf numFmtId="0" fontId="5" fillId="0" borderId="16" xfId="401" applyFont="1" applyBorder="1" applyAlignment="1" applyProtection="1">
      <alignment vertical="top" wrapText="1"/>
      <protection locked="0" hidden="1"/>
    </xf>
    <xf numFmtId="0" fontId="5" fillId="0" borderId="16" xfId="401" applyFont="1" applyBorder="1" applyAlignment="1" applyProtection="1">
      <alignment horizontal="left" vertical="top" wrapText="1"/>
      <protection locked="0" hidden="1"/>
    </xf>
    <xf numFmtId="44" fontId="5" fillId="0" borderId="16" xfId="401" applyNumberFormat="1" applyFont="1" applyBorder="1" applyAlignment="1" applyProtection="1">
      <alignment wrapText="1"/>
      <protection locked="0" hidden="1"/>
    </xf>
    <xf numFmtId="0" fontId="42" fillId="0" borderId="17" xfId="401" applyFont="1" applyBorder="1" applyAlignment="1" applyProtection="1">
      <alignment vertical="top" wrapText="1"/>
      <protection locked="0" hidden="1"/>
    </xf>
    <xf numFmtId="0" fontId="42" fillId="0" borderId="17" xfId="401" applyFont="1" applyBorder="1" applyAlignment="1" applyProtection="1">
      <alignment horizontal="left" vertical="top" wrapText="1"/>
      <protection locked="0" hidden="1"/>
    </xf>
    <xf numFmtId="44" fontId="42" fillId="0" borderId="17" xfId="401" applyNumberFormat="1" applyFont="1" applyBorder="1" applyAlignment="1" applyProtection="1">
      <alignment wrapText="1"/>
      <protection locked="0" hidden="1"/>
    </xf>
    <xf numFmtId="0" fontId="36" fillId="0" borderId="0" xfId="303" applyFont="1" applyAlignment="1" applyProtection="1">
      <alignment horizontal="center"/>
      <protection hidden="1"/>
    </xf>
    <xf numFmtId="164" fontId="5" fillId="0" borderId="0" xfId="223" applyNumberFormat="1" applyAlignment="1" applyProtection="1">
      <alignment horizontal="center"/>
      <protection hidden="1"/>
    </xf>
    <xf numFmtId="0" fontId="5" fillId="0" borderId="0" xfId="303" applyAlignment="1" applyProtection="1">
      <alignment horizontal="center"/>
      <protection hidden="1"/>
    </xf>
    <xf numFmtId="164" fontId="5" fillId="0" borderId="0" xfId="223" applyNumberFormat="1" applyAlignment="1" applyProtection="1">
      <protection hidden="1"/>
    </xf>
    <xf numFmtId="0" fontId="25" fillId="0" borderId="0" xfId="303" applyFont="1" applyAlignment="1" applyProtection="1">
      <alignment horizontal="right" vertical="top" wrapText="1"/>
      <protection locked="0" hidden="1"/>
    </xf>
    <xf numFmtId="172" fontId="5" fillId="0" borderId="0" xfId="303" applyNumberFormat="1" applyAlignment="1" applyProtection="1">
      <alignment horizontal="center"/>
      <protection hidden="1"/>
    </xf>
    <xf numFmtId="49" fontId="5" fillId="0" borderId="17" xfId="223" applyNumberFormat="1" applyFont="1" applyFill="1" applyBorder="1" applyAlignment="1" applyProtection="1">
      <alignment horizontal="center" vertical="center"/>
      <protection locked="0" hidden="1"/>
    </xf>
    <xf numFmtId="172" fontId="5" fillId="0" borderId="0" xfId="303" applyNumberFormat="1" applyProtection="1">
      <protection hidden="1"/>
    </xf>
    <xf numFmtId="44" fontId="37" fillId="0" borderId="41" xfId="303" applyNumberFormat="1" applyFont="1" applyBorder="1" applyProtection="1">
      <protection locked="0" hidden="1"/>
    </xf>
    <xf numFmtId="166" fontId="55" fillId="0" borderId="0" xfId="303" applyNumberFormat="1" applyFont="1" applyAlignment="1" applyProtection="1">
      <alignment wrapText="1"/>
      <protection locked="0" hidden="1"/>
    </xf>
    <xf numFmtId="4" fontId="59" fillId="0" borderId="0" xfId="303" applyNumberFormat="1" applyFont="1" applyAlignment="1" applyProtection="1">
      <alignment horizontal="center"/>
      <protection locked="0" hidden="1"/>
    </xf>
    <xf numFmtId="0" fontId="64" fillId="24" borderId="17" xfId="303" applyFont="1" applyFill="1" applyBorder="1" applyAlignment="1" applyProtection="1">
      <alignment horizontal="center"/>
      <protection locked="0" hidden="1"/>
    </xf>
    <xf numFmtId="49" fontId="90" fillId="0" borderId="17" xfId="223" applyNumberFormat="1" applyFont="1" applyFill="1" applyBorder="1" applyAlignment="1" applyProtection="1">
      <alignment horizontal="center" vertical="center"/>
      <protection locked="0" hidden="1"/>
    </xf>
    <xf numFmtId="44" fontId="64" fillId="0" borderId="0" xfId="303" applyNumberFormat="1" applyFont="1" applyAlignment="1" applyProtection="1">
      <alignment horizontal="center"/>
      <protection locked="0" hidden="1"/>
    </xf>
    <xf numFmtId="49" fontId="31" fillId="0" borderId="16" xfId="303" applyNumberFormat="1" applyFont="1" applyBorder="1" applyAlignment="1" applyProtection="1">
      <alignment horizontal="center"/>
      <protection locked="0" hidden="1"/>
    </xf>
    <xf numFmtId="0" fontId="31" fillId="0" borderId="16" xfId="303" applyFont="1" applyBorder="1" applyAlignment="1" applyProtection="1">
      <alignment wrapText="1"/>
      <protection locked="0" hidden="1"/>
    </xf>
    <xf numFmtId="44" fontId="31" fillId="0" borderId="16" xfId="303" applyNumberFormat="1" applyFont="1" applyBorder="1" applyProtection="1">
      <protection locked="0" hidden="1"/>
    </xf>
    <xf numFmtId="44" fontId="5" fillId="0" borderId="16" xfId="223" applyFont="1" applyFill="1" applyBorder="1" applyProtection="1">
      <protection hidden="1"/>
    </xf>
    <xf numFmtId="0" fontId="31" fillId="0" borderId="17" xfId="303" applyFont="1" applyBorder="1" applyAlignment="1" applyProtection="1">
      <alignment wrapText="1"/>
      <protection locked="0" hidden="1"/>
    </xf>
    <xf numFmtId="49" fontId="42" fillId="0" borderId="17" xfId="223" applyNumberFormat="1" applyFont="1" applyFill="1" applyBorder="1" applyAlignment="1" applyProtection="1">
      <alignment horizontal="center"/>
      <protection locked="0" hidden="1"/>
    </xf>
    <xf numFmtId="0" fontId="127" fillId="0" borderId="0" xfId="303" applyFont="1"/>
    <xf numFmtId="44" fontId="126" fillId="0" borderId="16" xfId="223" applyFont="1" applyFill="1" applyBorder="1" applyAlignment="1" applyProtection="1">
      <protection locked="0" hidden="1"/>
    </xf>
    <xf numFmtId="44" fontId="126" fillId="0" borderId="17" xfId="223" applyFont="1" applyFill="1" applyBorder="1" applyAlignment="1" applyProtection="1">
      <protection locked="0" hidden="1"/>
    </xf>
    <xf numFmtId="1" fontId="5" fillId="0" borderId="16" xfId="303" applyNumberFormat="1" applyBorder="1" applyAlignment="1" applyProtection="1">
      <alignment horizontal="center"/>
      <protection locked="0" hidden="1"/>
    </xf>
    <xf numFmtId="1" fontId="5" fillId="0" borderId="17" xfId="303" applyNumberFormat="1" applyBorder="1" applyAlignment="1" applyProtection="1">
      <alignment horizontal="center"/>
      <protection locked="0" hidden="1"/>
    </xf>
    <xf numFmtId="0" fontId="125" fillId="0" borderId="0" xfId="344" applyFont="1" applyProtection="1">
      <protection locked="0" hidden="1"/>
    </xf>
    <xf numFmtId="164" fontId="26" fillId="0" borderId="0" xfId="223" applyNumberFormat="1" applyFont="1" applyBorder="1" applyAlignment="1" applyProtection="1">
      <alignment horizontal="center" vertical="center" wrapText="1"/>
      <protection locked="0" hidden="1"/>
    </xf>
    <xf numFmtId="0" fontId="25" fillId="0" borderId="16" xfId="303" applyFont="1" applyBorder="1" applyAlignment="1" applyProtection="1">
      <alignment horizontal="center" vertical="center" wrapText="1"/>
      <protection locked="0" hidden="1"/>
    </xf>
    <xf numFmtId="0" fontId="40" fillId="0" borderId="16" xfId="303" applyFont="1" applyBorder="1" applyAlignment="1" applyProtection="1">
      <alignment horizontal="center" vertical="center" wrapText="1"/>
      <protection locked="0" hidden="1"/>
    </xf>
    <xf numFmtId="44" fontId="5" fillId="0" borderId="17" xfId="303" applyNumberFormat="1" applyBorder="1" applyAlignment="1" applyProtection="1">
      <alignment horizontal="center" wrapText="1"/>
      <protection locked="0" hidden="1"/>
    </xf>
    <xf numFmtId="44" fontId="42" fillId="0" borderId="16" xfId="303" applyNumberFormat="1" applyFont="1" applyBorder="1" applyAlignment="1" applyProtection="1">
      <alignment horizontal="center"/>
      <protection hidden="1"/>
    </xf>
    <xf numFmtId="44" fontId="5" fillId="0" borderId="16" xfId="223" applyFont="1" applyFill="1" applyBorder="1" applyAlignment="1" applyProtection="1">
      <alignment horizontal="center"/>
      <protection hidden="1"/>
    </xf>
    <xf numFmtId="44" fontId="42" fillId="0" borderId="17" xfId="303" applyNumberFormat="1" applyFont="1" applyBorder="1" applyAlignment="1" applyProtection="1">
      <alignment horizontal="center"/>
      <protection hidden="1"/>
    </xf>
    <xf numFmtId="44" fontId="5" fillId="0" borderId="17" xfId="223" applyFont="1" applyFill="1" applyBorder="1" applyAlignment="1" applyProtection="1">
      <alignment horizontal="center"/>
      <protection hidden="1"/>
    </xf>
    <xf numFmtId="44" fontId="34" fillId="0" borderId="0" xfId="223" applyFont="1" applyFill="1" applyAlignment="1" applyProtection="1">
      <alignment horizontal="center"/>
      <protection locked="0" hidden="1"/>
    </xf>
    <xf numFmtId="164" fontId="26" fillId="0" borderId="0" xfId="223" applyNumberFormat="1" applyFont="1" applyFill="1" applyAlignment="1" applyProtection="1">
      <protection locked="0" hidden="1"/>
    </xf>
    <xf numFmtId="2" fontId="26" fillId="0" borderId="0" xfId="303" applyNumberFormat="1" applyFont="1" applyProtection="1">
      <protection locked="0" hidden="1"/>
    </xf>
    <xf numFmtId="2" fontId="5" fillId="0" borderId="0" xfId="303" applyNumberFormat="1" applyProtection="1">
      <protection locked="0" hidden="1"/>
    </xf>
    <xf numFmtId="0" fontId="5" fillId="0" borderId="0" xfId="402" applyProtection="1">
      <protection locked="0" hidden="1"/>
    </xf>
    <xf numFmtId="0" fontId="5" fillId="58" borderId="0" xfId="303" applyFill="1" applyProtection="1">
      <protection locked="0" hidden="1"/>
    </xf>
    <xf numFmtId="0" fontId="5" fillId="58" borderId="22" xfId="303" applyFill="1" applyBorder="1" applyProtection="1">
      <protection locked="0" hidden="1"/>
    </xf>
    <xf numFmtId="0" fontId="5" fillId="58" borderId="27" xfId="303" applyFill="1" applyBorder="1" applyProtection="1">
      <protection locked="0" hidden="1"/>
    </xf>
    <xf numFmtId="0" fontId="26" fillId="58" borderId="22" xfId="303" applyFont="1" applyFill="1" applyBorder="1" applyProtection="1">
      <protection locked="0" hidden="1"/>
    </xf>
    <xf numFmtId="0" fontId="123" fillId="0" borderId="0" xfId="303" applyFont="1" applyAlignment="1">
      <alignment wrapText="1"/>
    </xf>
    <xf numFmtId="0" fontId="123" fillId="0" borderId="0" xfId="303" applyFont="1" applyAlignment="1">
      <alignment horizontal="center" wrapText="1"/>
    </xf>
    <xf numFmtId="0" fontId="5" fillId="0" borderId="0" xfId="303" applyAlignment="1">
      <alignment wrapText="1"/>
    </xf>
    <xf numFmtId="0" fontId="5" fillId="0" borderId="0" xfId="303" applyAlignment="1">
      <alignment horizontal="center" wrapText="1"/>
    </xf>
    <xf numFmtId="8" fontId="5" fillId="0" borderId="0" xfId="303" applyNumberFormat="1" applyAlignment="1">
      <alignment horizontal="center" wrapText="1"/>
    </xf>
    <xf numFmtId="0" fontId="93" fillId="25" borderId="30" xfId="303" applyFont="1" applyFill="1" applyBorder="1" applyAlignment="1">
      <alignment vertical="top"/>
    </xf>
    <xf numFmtId="0" fontId="42" fillId="0" borderId="30" xfId="303" applyFont="1" applyBorder="1"/>
    <xf numFmtId="5" fontId="5" fillId="0" borderId="0" xfId="303" applyNumberFormat="1" applyAlignment="1">
      <alignment vertical="top" wrapText="1"/>
    </xf>
    <xf numFmtId="0" fontId="99" fillId="0" borderId="0" xfId="303" applyFont="1" applyProtection="1">
      <protection locked="0" hidden="1"/>
    </xf>
    <xf numFmtId="0" fontId="93" fillId="25" borderId="0" xfId="303" applyFont="1" applyFill="1" applyAlignment="1">
      <alignment vertical="top"/>
    </xf>
    <xf numFmtId="0" fontId="97" fillId="0" borderId="0" xfId="303" applyFont="1"/>
    <xf numFmtId="0" fontId="96" fillId="0" borderId="0" xfId="303" applyFont="1"/>
    <xf numFmtId="49" fontId="5" fillId="0" borderId="17" xfId="303" applyNumberFormat="1" applyBorder="1" applyAlignment="1" applyProtection="1">
      <alignment horizontal="center" wrapText="1"/>
      <protection locked="0" hidden="1"/>
    </xf>
    <xf numFmtId="0" fontId="42" fillId="0" borderId="17" xfId="303" applyFont="1" applyBorder="1" applyAlignment="1" applyProtection="1">
      <alignment horizontal="center" wrapText="1"/>
      <protection locked="0" hidden="1"/>
    </xf>
    <xf numFmtId="0" fontId="5" fillId="0" borderId="20" xfId="223" applyNumberFormat="1" applyFont="1" applyFill="1" applyBorder="1" applyAlignment="1" applyProtection="1">
      <alignment horizontal="center"/>
      <protection locked="0" hidden="1"/>
    </xf>
    <xf numFmtId="0" fontId="5" fillId="0" borderId="19" xfId="303" applyBorder="1" applyAlignment="1" applyProtection="1">
      <alignment wrapText="1"/>
      <protection locked="0" hidden="1"/>
    </xf>
    <xf numFmtId="0" fontId="5" fillId="0" borderId="34" xfId="303" applyBorder="1" applyAlignment="1" applyProtection="1">
      <alignment horizontal="center"/>
      <protection locked="0" hidden="1"/>
    </xf>
    <xf numFmtId="0" fontId="5" fillId="0" borderId="49" xfId="303" applyBorder="1" applyAlignment="1" applyProtection="1">
      <alignment horizontal="center"/>
      <protection locked="0" hidden="1"/>
    </xf>
    <xf numFmtId="0" fontId="5" fillId="0" borderId="29" xfId="303" applyBorder="1" applyAlignment="1" applyProtection="1">
      <alignment horizontal="center"/>
      <protection locked="0" hidden="1"/>
    </xf>
    <xf numFmtId="0" fontId="66" fillId="0" borderId="17" xfId="303" applyFont="1" applyBorder="1" applyAlignment="1" applyProtection="1">
      <alignment horizontal="center" vertical="top"/>
      <protection locked="0" hidden="1"/>
    </xf>
    <xf numFmtId="0" fontId="66" fillId="0" borderId="17" xfId="303" applyFont="1" applyBorder="1" applyAlignment="1" applyProtection="1">
      <alignment horizontal="center" vertical="top"/>
      <protection hidden="1"/>
    </xf>
    <xf numFmtId="0" fontId="5" fillId="0" borderId="37" xfId="303" applyBorder="1" applyProtection="1">
      <protection locked="0" hidden="1"/>
    </xf>
    <xf numFmtId="0" fontId="5" fillId="0" borderId="16" xfId="374" applyFont="1" applyBorder="1" applyProtection="1">
      <protection locked="0" hidden="1"/>
    </xf>
    <xf numFmtId="0" fontId="5" fillId="60" borderId="33" xfId="303" applyFill="1" applyBorder="1" applyAlignment="1" applyProtection="1">
      <alignment horizontal="center"/>
      <protection locked="0" hidden="1"/>
    </xf>
    <xf numFmtId="0" fontId="131" fillId="0" borderId="17" xfId="374" applyFont="1" applyBorder="1" applyAlignment="1" applyProtection="1">
      <alignment horizontal="left" vertical="center" wrapText="1"/>
      <protection locked="0" hidden="1"/>
    </xf>
    <xf numFmtId="0" fontId="0" fillId="0" borderId="0" xfId="0" applyAlignment="1">
      <alignment vertical="center"/>
    </xf>
    <xf numFmtId="0" fontId="34" fillId="0" borderId="0" xfId="0" applyFont="1" applyAlignment="1">
      <alignment vertical="center"/>
    </xf>
    <xf numFmtId="0" fontId="5" fillId="0" borderId="16" xfId="401" applyFont="1" applyBorder="1" applyAlignment="1" applyProtection="1">
      <alignment horizontal="left" vertical="top"/>
      <protection locked="0" hidden="1"/>
    </xf>
    <xf numFmtId="0" fontId="5" fillId="0" borderId="0" xfId="0" applyFont="1" applyAlignment="1">
      <alignment vertical="center"/>
    </xf>
    <xf numFmtId="49" fontId="42" fillId="0" borderId="20" xfId="223" applyNumberFormat="1" applyFont="1" applyFill="1" applyBorder="1" applyAlignment="1" applyProtection="1">
      <alignment horizontal="center" vertical="center"/>
      <protection locked="0" hidden="1"/>
    </xf>
    <xf numFmtId="4" fontId="0" fillId="0" borderId="29" xfId="0" applyNumberFormat="1" applyBorder="1"/>
    <xf numFmtId="44" fontId="42" fillId="0" borderId="19" xfId="303" applyNumberFormat="1" applyFont="1" applyBorder="1" applyProtection="1">
      <protection hidden="1"/>
    </xf>
    <xf numFmtId="0" fontId="0" fillId="0" borderId="29" xfId="0" applyBorder="1"/>
    <xf numFmtId="0" fontId="0" fillId="0" borderId="29" xfId="0" applyBorder="1" applyAlignment="1">
      <alignment wrapText="1"/>
    </xf>
    <xf numFmtId="0" fontId="42" fillId="0" borderId="16" xfId="303" applyFont="1" applyBorder="1" applyAlignment="1" applyProtection="1">
      <alignment horizontal="justify" wrapText="1"/>
      <protection locked="0" hidden="1"/>
    </xf>
    <xf numFmtId="0" fontId="42" fillId="0" borderId="16" xfId="303" applyFont="1" applyBorder="1" applyAlignment="1" applyProtection="1">
      <alignment horizontal="left" wrapText="1"/>
      <protection locked="0" hidden="1"/>
    </xf>
    <xf numFmtId="0" fontId="42" fillId="0" borderId="17" xfId="303" applyFont="1" applyBorder="1" applyAlignment="1" applyProtection="1">
      <alignment horizontal="justify" wrapText="1"/>
      <protection locked="0" hidden="1"/>
    </xf>
    <xf numFmtId="0" fontId="42" fillId="0" borderId="17" xfId="303" applyFont="1" applyBorder="1" applyAlignment="1" applyProtection="1">
      <alignment horizontal="left" wrapText="1"/>
      <protection locked="0" hidden="1"/>
    </xf>
    <xf numFmtId="0" fontId="34" fillId="0" borderId="0" xfId="0" applyFont="1" applyAlignment="1">
      <alignment horizontal="center" vertical="center"/>
    </xf>
    <xf numFmtId="0" fontId="5" fillId="0" borderId="16" xfId="303" applyBorder="1" applyProtection="1">
      <protection locked="0" hidden="1"/>
    </xf>
    <xf numFmtId="0" fontId="5" fillId="0" borderId="26" xfId="0" applyFont="1" applyBorder="1" applyProtection="1">
      <protection locked="0" hidden="1"/>
    </xf>
    <xf numFmtId="169" fontId="126" fillId="0" borderId="17" xfId="1" applyNumberFormat="1" applyFont="1" applyBorder="1" applyAlignment="1" applyProtection="1">
      <alignment horizontal="left"/>
      <protection locked="0" hidden="1"/>
    </xf>
    <xf numFmtId="0" fontId="126" fillId="0" borderId="17" xfId="303" applyFont="1" applyBorder="1" applyProtection="1">
      <protection locked="0" hidden="1"/>
    </xf>
    <xf numFmtId="44" fontId="34" fillId="0" borderId="15" xfId="348" applyNumberFormat="1" applyFont="1" applyBorder="1" applyAlignment="1" applyProtection="1">
      <alignment horizontal="left"/>
      <protection locked="0" hidden="1"/>
    </xf>
    <xf numFmtId="49" fontId="34" fillId="0" borderId="17" xfId="348" applyNumberFormat="1" applyFont="1" applyBorder="1" applyAlignment="1" applyProtection="1">
      <alignment horizontal="center"/>
      <protection locked="0" hidden="1"/>
    </xf>
    <xf numFmtId="0" fontId="41" fillId="0" borderId="15" xfId="348" applyFont="1" applyBorder="1" applyAlignment="1" applyProtection="1">
      <alignment horizontal="left"/>
      <protection locked="0" hidden="1"/>
    </xf>
    <xf numFmtId="49" fontId="34" fillId="0" borderId="15" xfId="374" applyNumberFormat="1" applyFont="1" applyBorder="1" applyAlignment="1" applyProtection="1">
      <alignment horizontal="center"/>
      <protection locked="0" hidden="1"/>
    </xf>
    <xf numFmtId="0" fontId="41" fillId="0" borderId="15" xfId="374" applyFont="1" applyBorder="1" applyAlignment="1" applyProtection="1">
      <alignment horizontal="left"/>
      <protection locked="0" hidden="1"/>
    </xf>
    <xf numFmtId="44" fontId="34" fillId="0" borderId="15" xfId="374" applyNumberFormat="1" applyFont="1" applyBorder="1" applyAlignment="1" applyProtection="1">
      <alignment horizontal="left"/>
      <protection locked="0" hidden="1"/>
    </xf>
    <xf numFmtId="44" fontId="5" fillId="0" borderId="16" xfId="1" applyNumberFormat="1" applyFont="1" applyBorder="1" applyProtection="1">
      <protection locked="0" hidden="1"/>
    </xf>
    <xf numFmtId="37" fontId="5" fillId="0" borderId="17" xfId="345" applyBorder="1" applyProtection="1">
      <protection locked="0" hidden="1"/>
    </xf>
    <xf numFmtId="169" fontId="42" fillId="0" borderId="17" xfId="1" applyNumberFormat="1" applyFont="1" applyBorder="1" applyAlignment="1" applyProtection="1">
      <alignment horizontal="left"/>
      <protection locked="0" hidden="1"/>
    </xf>
    <xf numFmtId="44" fontId="42" fillId="0" borderId="16" xfId="1" applyNumberFormat="1" applyFont="1" applyBorder="1" applyProtection="1">
      <protection locked="0" hidden="1"/>
    </xf>
    <xf numFmtId="44" fontId="34" fillId="0" borderId="15" xfId="303" applyNumberFormat="1" applyFont="1" applyBorder="1" applyAlignment="1" applyProtection="1">
      <alignment horizontal="left"/>
      <protection locked="0" hidden="1"/>
    </xf>
    <xf numFmtId="0" fontId="0" fillId="0" borderId="0" xfId="0" applyProtection="1">
      <protection locked="0" hidden="1"/>
    </xf>
    <xf numFmtId="0" fontId="0" fillId="0" borderId="22" xfId="0" applyBorder="1" applyProtection="1">
      <protection locked="0" hidden="1"/>
    </xf>
    <xf numFmtId="166" fontId="0" fillId="0" borderId="0" xfId="0" applyNumberFormat="1" applyAlignment="1" applyProtection="1">
      <alignment horizontal="left"/>
      <protection locked="0" hidden="1"/>
    </xf>
    <xf numFmtId="166" fontId="0" fillId="0" borderId="22" xfId="0" applyNumberFormat="1" applyBorder="1" applyAlignment="1" applyProtection="1">
      <alignment horizontal="left"/>
      <protection locked="0" hidden="1"/>
    </xf>
    <xf numFmtId="0" fontId="25" fillId="0" borderId="24" xfId="0" applyFont="1" applyBorder="1" applyAlignment="1" applyProtection="1">
      <alignment horizontal="right" wrapText="1"/>
      <protection locked="0" hidden="1"/>
    </xf>
    <xf numFmtId="0" fontId="0" fillId="0" borderId="27" xfId="0" applyBorder="1" applyProtection="1">
      <protection locked="0" hidden="1"/>
    </xf>
    <xf numFmtId="0" fontId="25" fillId="0" borderId="21" xfId="0" applyFont="1" applyBorder="1" applyAlignment="1" applyProtection="1">
      <alignment horizontal="right" wrapText="1"/>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0" fontId="5" fillId="0" borderId="0" xfId="0" applyFont="1" applyProtection="1">
      <protection locked="0" hidden="1"/>
    </xf>
    <xf numFmtId="0" fontId="5" fillId="0" borderId="27" xfId="0" applyFont="1" applyBorder="1" applyProtection="1">
      <protection locked="0" hidden="1"/>
    </xf>
    <xf numFmtId="0" fontId="0" fillId="0" borderId="28" xfId="0" applyBorder="1" applyProtection="1">
      <protection locked="0" hidden="1"/>
    </xf>
    <xf numFmtId="44" fontId="34" fillId="0" borderId="15" xfId="222" applyFont="1" applyFill="1" applyBorder="1" applyAlignment="1" applyProtection="1">
      <alignment horizontal="center" vertical="center"/>
      <protection hidden="1"/>
    </xf>
    <xf numFmtId="44" fontId="34" fillId="0" borderId="16" xfId="222" applyFont="1" applyFill="1" applyBorder="1" applyAlignment="1" applyProtection="1">
      <alignment horizontal="center" vertical="center"/>
      <protection hidden="1"/>
    </xf>
    <xf numFmtId="0" fontId="0" fillId="0" borderId="16" xfId="0" applyBorder="1" applyProtection="1">
      <protection hidden="1"/>
    </xf>
    <xf numFmtId="0" fontId="36" fillId="0" borderId="0" xfId="0" applyFont="1" applyAlignment="1" applyProtection="1">
      <alignment horizontal="right"/>
      <protection locked="0" hidden="1"/>
    </xf>
    <xf numFmtId="0" fontId="0" fillId="0" borderId="41" xfId="0" applyBorder="1" applyProtection="1">
      <protection locked="0" hidden="1"/>
    </xf>
    <xf numFmtId="0" fontId="25" fillId="24" borderId="20" xfId="0" applyFont="1" applyFill="1" applyBorder="1" applyAlignment="1" applyProtection="1">
      <alignment horizontal="left" wrapText="1"/>
      <protection locked="0" hidden="1"/>
    </xf>
    <xf numFmtId="0" fontId="0" fillId="0" borderId="18" xfId="0" applyBorder="1" applyProtection="1">
      <protection locked="0" hidden="1"/>
    </xf>
    <xf numFmtId="0" fontId="0" fillId="0" borderId="19" xfId="0" applyBorder="1" applyProtection="1">
      <protection locked="0" hidden="1"/>
    </xf>
    <xf numFmtId="0" fontId="26" fillId="24" borderId="33" xfId="0" applyFont="1" applyFill="1" applyBorder="1" applyAlignment="1" applyProtection="1">
      <alignment horizontal="center" vertical="center" wrapText="1"/>
      <protection locked="0" hidden="1"/>
    </xf>
    <xf numFmtId="0" fontId="26" fillId="24" borderId="16" xfId="0" applyFont="1" applyFill="1" applyBorder="1" applyAlignment="1" applyProtection="1">
      <alignment horizontal="center" vertical="center" wrapText="1"/>
      <protection locked="0" hidden="1"/>
    </xf>
    <xf numFmtId="164" fontId="25" fillId="0" borderId="20" xfId="222" applyNumberFormat="1" applyFont="1" applyBorder="1" applyAlignment="1" applyProtection="1">
      <alignment horizontal="center"/>
      <protection locked="0" hidden="1"/>
    </xf>
    <xf numFmtId="0" fontId="0" fillId="0" borderId="19" xfId="0" applyBorder="1" applyAlignment="1" applyProtection="1">
      <alignment horizontal="center"/>
      <protection locked="0" hidden="1"/>
    </xf>
    <xf numFmtId="0" fontId="34" fillId="0" borderId="15" xfId="0" applyFont="1" applyBorder="1" applyAlignment="1" applyProtection="1">
      <alignment horizontal="center" vertical="center"/>
      <protection locked="0" hidden="1"/>
    </xf>
    <xf numFmtId="0" fontId="34" fillId="0" borderId="16" xfId="0" applyFont="1" applyBorder="1" applyAlignment="1" applyProtection="1">
      <alignment horizontal="center" vertical="center"/>
      <protection locked="0" hidden="1"/>
    </xf>
    <xf numFmtId="0" fontId="0" fillId="0" borderId="16" xfId="0" applyBorder="1" applyAlignment="1" applyProtection="1">
      <alignment horizontal="center" vertical="center"/>
      <protection locked="0" hidden="1"/>
    </xf>
    <xf numFmtId="0" fontId="25" fillId="0" borderId="20" xfId="0" applyFont="1" applyBorder="1" applyAlignment="1" applyProtection="1">
      <alignment horizontal="center"/>
      <protection locked="0" hidden="1"/>
    </xf>
    <xf numFmtId="0" fontId="25" fillId="0" borderId="18" xfId="0" applyFont="1" applyBorder="1" applyAlignment="1" applyProtection="1">
      <alignment horizontal="center"/>
      <protection locked="0" hidden="1"/>
    </xf>
    <xf numFmtId="0" fontId="25" fillId="0" borderId="0" xfId="0" applyFont="1" applyAlignment="1" applyProtection="1">
      <alignment horizontal="right"/>
      <protection locked="0" hidden="1"/>
    </xf>
    <xf numFmtId="44" fontId="32" fillId="4" borderId="0" xfId="0" applyNumberFormat="1" applyFont="1" applyFill="1" applyAlignment="1" applyProtection="1">
      <alignment horizontal="center"/>
      <protection locked="0" hidden="1"/>
    </xf>
    <xf numFmtId="0" fontId="27" fillId="0" borderId="0" xfId="0" applyFont="1" applyAlignment="1" applyProtection="1">
      <alignment horizontal="center" vertical="center"/>
      <protection locked="0" hidden="1"/>
    </xf>
    <xf numFmtId="0" fontId="25" fillId="0" borderId="0" xfId="0" applyFont="1" applyAlignment="1" applyProtection="1">
      <alignment horizontal="center" vertical="center" wrapText="1"/>
      <protection locked="0" hidden="1"/>
    </xf>
    <xf numFmtId="0" fontId="5" fillId="0" borderId="0" xfId="0" applyFont="1" applyAlignment="1" applyProtection="1">
      <alignment vertical="center"/>
      <protection locked="0" hidden="1"/>
    </xf>
    <xf numFmtId="44" fontId="32" fillId="4" borderId="21" xfId="0" applyNumberFormat="1" applyFont="1" applyFill="1" applyBorder="1" applyAlignment="1" applyProtection="1">
      <alignment horizontal="center"/>
      <protection locked="0" hidden="1"/>
    </xf>
    <xf numFmtId="44" fontId="30" fillId="0" borderId="21" xfId="0" applyNumberFormat="1" applyFont="1" applyBorder="1" applyAlignment="1" applyProtection="1">
      <alignment horizontal="center"/>
      <protection locked="0" hidden="1"/>
    </xf>
    <xf numFmtId="0" fontId="34" fillId="0" borderId="21" xfId="0" applyFont="1" applyBorder="1" applyAlignment="1" applyProtection="1">
      <alignment horizontal="center"/>
      <protection locked="0" hidden="1"/>
    </xf>
    <xf numFmtId="0" fontId="26" fillId="24" borderId="15" xfId="0" applyFont="1" applyFill="1" applyBorder="1" applyAlignment="1" applyProtection="1">
      <alignment horizontal="center" vertical="center" wrapText="1"/>
      <protection locked="0" hidden="1"/>
    </xf>
    <xf numFmtId="0" fontId="25" fillId="24" borderId="20" xfId="303" applyFont="1" applyFill="1" applyBorder="1" applyAlignment="1" applyProtection="1">
      <alignment horizontal="left" wrapText="1"/>
      <protection locked="0" hidden="1"/>
    </xf>
    <xf numFmtId="0" fontId="5" fillId="0" borderId="18" xfId="303" applyBorder="1" applyProtection="1">
      <protection locked="0" hidden="1"/>
    </xf>
    <xf numFmtId="0" fontId="5" fillId="0" borderId="18" xfId="303" applyBorder="1" applyProtection="1">
      <protection hidden="1"/>
    </xf>
    <xf numFmtId="0" fontId="5" fillId="0" borderId="19" xfId="303" applyBorder="1" applyProtection="1">
      <protection hidden="1"/>
    </xf>
    <xf numFmtId="0" fontId="26" fillId="24" borderId="33" xfId="303" applyFont="1" applyFill="1" applyBorder="1" applyAlignment="1" applyProtection="1">
      <alignment horizontal="center" vertical="center" wrapText="1"/>
      <protection locked="0" hidden="1"/>
    </xf>
    <xf numFmtId="0" fontId="26" fillId="24" borderId="16" xfId="303" applyFont="1" applyFill="1" applyBorder="1" applyAlignment="1" applyProtection="1">
      <alignment horizontal="center" vertical="center" wrapText="1"/>
      <protection locked="0" hidden="1"/>
    </xf>
    <xf numFmtId="0" fontId="36" fillId="0" borderId="0" xfId="303" applyFont="1" applyAlignment="1" applyProtection="1">
      <alignment horizontal="right"/>
      <protection locked="0" hidden="1"/>
    </xf>
    <xf numFmtId="0" fontId="5" fillId="0" borderId="41" xfId="303" applyBorder="1" applyAlignment="1" applyProtection="1">
      <alignment horizontal="right"/>
      <protection locked="0" hidden="1"/>
    </xf>
    <xf numFmtId="0" fontId="5" fillId="0" borderId="41" xfId="303" applyBorder="1" applyProtection="1">
      <protection locked="0" hidden="1"/>
    </xf>
    <xf numFmtId="44" fontId="34" fillId="0" borderId="15" xfId="223" applyFont="1" applyFill="1" applyBorder="1" applyAlignment="1" applyProtection="1">
      <alignment horizontal="center" vertical="center"/>
      <protection hidden="1"/>
    </xf>
    <xf numFmtId="44" fontId="34" fillId="0" borderId="33" xfId="223" applyFont="1" applyFill="1" applyBorder="1" applyAlignment="1" applyProtection="1">
      <alignment horizontal="center" vertical="center"/>
      <protection hidden="1"/>
    </xf>
    <xf numFmtId="44" fontId="34" fillId="0" borderId="16" xfId="223" applyFont="1" applyFill="1" applyBorder="1" applyAlignment="1" applyProtection="1">
      <alignment horizontal="center" vertical="center"/>
      <protection hidden="1"/>
    </xf>
    <xf numFmtId="0" fontId="34" fillId="0" borderId="15" xfId="303" applyFont="1" applyBorder="1" applyAlignment="1" applyProtection="1">
      <alignment horizontal="center" vertical="center"/>
      <protection locked="0" hidden="1"/>
    </xf>
    <xf numFmtId="0" fontId="34" fillId="0" borderId="33" xfId="303" applyFont="1" applyBorder="1" applyAlignment="1" applyProtection="1">
      <alignment horizontal="center" vertical="center"/>
      <protection locked="0" hidden="1"/>
    </xf>
    <xf numFmtId="0" fontId="34" fillId="0" borderId="16" xfId="303" applyFont="1" applyBorder="1" applyAlignment="1" applyProtection="1">
      <alignment horizontal="center" vertical="center"/>
      <protection locked="0" hidden="1"/>
    </xf>
    <xf numFmtId="0" fontId="5" fillId="0" borderId="16" xfId="303" applyBorder="1" applyAlignment="1" applyProtection="1">
      <alignment horizontal="center" vertical="center"/>
      <protection locked="0" hidden="1"/>
    </xf>
    <xf numFmtId="44" fontId="34" fillId="0" borderId="16" xfId="223" applyFont="1" applyFill="1" applyBorder="1" applyAlignment="1" applyProtection="1">
      <alignment horizontal="center" vertical="center"/>
      <protection locked="0" hidden="1"/>
    </xf>
    <xf numFmtId="0" fontId="36" fillId="0" borderId="0" xfId="303" applyFont="1" applyAlignment="1" applyProtection="1">
      <alignment horizontal="center"/>
      <protection locked="0" hidden="1"/>
    </xf>
    <xf numFmtId="0" fontId="5" fillId="0" borderId="0" xfId="303" applyProtection="1">
      <protection locked="0" hidden="1"/>
    </xf>
    <xf numFmtId="164" fontId="25" fillId="0" borderId="20" xfId="223" applyNumberFormat="1" applyFont="1" applyFill="1" applyBorder="1" applyAlignment="1" applyProtection="1">
      <alignment horizontal="center"/>
      <protection locked="0" hidden="1"/>
    </xf>
    <xf numFmtId="0" fontId="5" fillId="0" borderId="19" xfId="303" applyBorder="1" applyAlignment="1" applyProtection="1">
      <alignment horizontal="center"/>
      <protection locked="0" hidden="1"/>
    </xf>
    <xf numFmtId="0" fontId="25" fillId="0" borderId="20" xfId="303" applyFont="1" applyBorder="1" applyAlignment="1" applyProtection="1">
      <alignment horizontal="center"/>
      <protection locked="0" hidden="1"/>
    </xf>
    <xf numFmtId="0" fontId="25" fillId="0" borderId="18" xfId="303" applyFont="1" applyBorder="1" applyAlignment="1" applyProtection="1">
      <alignment horizontal="center"/>
      <protection locked="0" hidden="1"/>
    </xf>
    <xf numFmtId="0" fontId="5" fillId="0" borderId="19" xfId="303" applyBorder="1" applyProtection="1">
      <protection locked="0" hidden="1"/>
    </xf>
    <xf numFmtId="44" fontId="34" fillId="0" borderId="15" xfId="223" applyFont="1" applyFill="1" applyBorder="1" applyAlignment="1" applyProtection="1">
      <alignment horizontal="center" vertical="center"/>
      <protection locked="0" hidden="1"/>
    </xf>
    <xf numFmtId="0" fontId="5" fillId="0" borderId="16" xfId="303" applyBorder="1" applyProtection="1">
      <protection hidden="1"/>
    </xf>
    <xf numFmtId="0" fontId="25" fillId="0" borderId="21" xfId="303" applyFont="1" applyBorder="1" applyAlignment="1" applyProtection="1">
      <alignment horizontal="right" wrapText="1"/>
      <protection locked="0" hidden="1"/>
    </xf>
    <xf numFmtId="0" fontId="25" fillId="0" borderId="0" xfId="303" applyFont="1" applyAlignment="1" applyProtection="1">
      <alignment horizontal="right" wrapText="1"/>
      <protection locked="0" hidden="1"/>
    </xf>
    <xf numFmtId="0" fontId="5" fillId="0" borderId="22" xfId="303" applyBorder="1" applyProtection="1">
      <protection locked="0" hidden="1"/>
    </xf>
    <xf numFmtId="0" fontId="25" fillId="0" borderId="24" xfId="303" applyFont="1" applyBorder="1" applyAlignment="1" applyProtection="1">
      <alignment horizontal="right" wrapText="1"/>
      <protection locked="0" hidden="1"/>
    </xf>
    <xf numFmtId="0" fontId="25" fillId="0" borderId="27" xfId="303" applyFont="1" applyBorder="1" applyAlignment="1" applyProtection="1">
      <alignment horizontal="right" wrapText="1"/>
      <protection locked="0" hidden="1"/>
    </xf>
    <xf numFmtId="0" fontId="5" fillId="0" borderId="27" xfId="303" applyBorder="1" applyProtection="1">
      <protection locked="0" hidden="1"/>
    </xf>
    <xf numFmtId="0" fontId="5" fillId="0" borderId="28" xfId="303" applyBorder="1" applyProtection="1">
      <protection locked="0" hidden="1"/>
    </xf>
    <xf numFmtId="166" fontId="5" fillId="0" borderId="0" xfId="303" applyNumberFormat="1" applyAlignment="1" applyProtection="1">
      <alignment horizontal="left"/>
      <protection locked="0" hidden="1"/>
    </xf>
    <xf numFmtId="166" fontId="5" fillId="0" borderId="22" xfId="303" applyNumberFormat="1" applyBorder="1" applyAlignment="1" applyProtection="1">
      <alignment horizontal="left"/>
      <protection locked="0" hidden="1"/>
    </xf>
    <xf numFmtId="44" fontId="30" fillId="0" borderId="21" xfId="303" applyNumberFormat="1" applyFont="1" applyBorder="1" applyAlignment="1" applyProtection="1">
      <alignment horizontal="center"/>
      <protection locked="0" hidden="1"/>
    </xf>
    <xf numFmtId="44" fontId="30" fillId="0" borderId="0" xfId="303" applyNumberFormat="1" applyFont="1" applyAlignment="1" applyProtection="1">
      <alignment horizontal="center"/>
      <protection locked="0" hidden="1"/>
    </xf>
    <xf numFmtId="44" fontId="30" fillId="0" borderId="22" xfId="303" applyNumberFormat="1" applyFont="1" applyBorder="1" applyAlignment="1" applyProtection="1">
      <alignment horizontal="center"/>
      <protection locked="0" hidden="1"/>
    </xf>
    <xf numFmtId="0" fontId="34" fillId="0" borderId="21" xfId="303" applyFont="1" applyBorder="1" applyAlignment="1" applyProtection="1">
      <alignment horizontal="center"/>
      <protection locked="0" hidden="1"/>
    </xf>
    <xf numFmtId="0" fontId="34" fillId="0" borderId="0" xfId="303" applyFont="1" applyAlignment="1" applyProtection="1">
      <alignment horizontal="center"/>
      <protection locked="0" hidden="1"/>
    </xf>
    <xf numFmtId="0" fontId="34" fillId="0" borderId="22" xfId="303" applyFont="1" applyBorder="1" applyAlignment="1" applyProtection="1">
      <alignment horizontal="center"/>
      <protection locked="0" hidden="1"/>
    </xf>
    <xf numFmtId="0" fontId="27" fillId="0" borderId="0" xfId="303" applyFont="1" applyAlignment="1" applyProtection="1">
      <alignment horizontal="center" vertical="center"/>
      <protection locked="0" hidden="1"/>
    </xf>
    <xf numFmtId="0" fontId="25" fillId="0" borderId="0" xfId="303" applyFont="1" applyAlignment="1" applyProtection="1">
      <alignment horizontal="center" vertical="center" wrapText="1"/>
      <protection locked="0" hidden="1"/>
    </xf>
    <xf numFmtId="0" fontId="5" fillId="0" borderId="0" xfId="303" applyAlignment="1" applyProtection="1">
      <alignment vertical="center"/>
      <protection locked="0" hidden="1"/>
    </xf>
    <xf numFmtId="44" fontId="32" fillId="4" borderId="0" xfId="303" applyNumberFormat="1" applyFont="1" applyFill="1" applyAlignment="1" applyProtection="1">
      <alignment horizontal="center"/>
      <protection locked="0" hidden="1"/>
    </xf>
    <xf numFmtId="0" fontId="32" fillId="0" borderId="0" xfId="303" applyFont="1" applyAlignment="1" applyProtection="1">
      <alignment horizontal="center" vertical="center" wrapText="1"/>
      <protection locked="0" hidden="1"/>
    </xf>
    <xf numFmtId="44" fontId="32" fillId="4" borderId="21" xfId="303" applyNumberFormat="1" applyFont="1" applyFill="1" applyBorder="1" applyAlignment="1" applyProtection="1">
      <alignment horizontal="center"/>
      <protection locked="0" hidden="1"/>
    </xf>
    <xf numFmtId="44" fontId="32" fillId="4" borderId="22" xfId="303" applyNumberFormat="1" applyFont="1" applyFill="1" applyBorder="1" applyAlignment="1" applyProtection="1">
      <alignment horizontal="center"/>
      <protection locked="0" hidden="1"/>
    </xf>
    <xf numFmtId="0" fontId="5" fillId="0" borderId="16" xfId="303" applyBorder="1" applyProtection="1">
      <protection locked="0" hidden="1"/>
    </xf>
    <xf numFmtId="0" fontId="0" fillId="0" borderId="33" xfId="0" applyBorder="1" applyAlignment="1" applyProtection="1">
      <alignment horizontal="center" vertical="center"/>
      <protection hidden="1"/>
    </xf>
    <xf numFmtId="0" fontId="26" fillId="59" borderId="15" xfId="0" applyFont="1" applyFill="1" applyBorder="1" applyAlignment="1" applyProtection="1">
      <alignment horizontal="center" vertical="center" wrapText="1"/>
      <protection locked="0" hidden="1"/>
    </xf>
    <xf numFmtId="0" fontId="0" fillId="59" borderId="33" xfId="0" applyFill="1" applyBorder="1" applyAlignment="1" applyProtection="1">
      <alignment horizontal="center"/>
      <protection locked="0" hidden="1"/>
    </xf>
    <xf numFmtId="0" fontId="0" fillId="59" borderId="16" xfId="0" applyFill="1" applyBorder="1" applyAlignment="1" applyProtection="1">
      <alignment horizontal="center"/>
      <protection locked="0" hidden="1"/>
    </xf>
    <xf numFmtId="0" fontId="34" fillId="0" borderId="17" xfId="0" applyFont="1"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0" fillId="0" borderId="15" xfId="0" applyBorder="1" applyAlignment="1" applyProtection="1">
      <alignment horizontal="center" vertical="center"/>
      <protection locked="0" hidden="1"/>
    </xf>
    <xf numFmtId="0" fontId="0" fillId="0" borderId="16" xfId="0" applyBorder="1" applyAlignment="1" applyProtection="1">
      <alignment horizontal="center" vertical="center"/>
      <protection hidden="1"/>
    </xf>
    <xf numFmtId="164" fontId="26" fillId="0" borderId="0" xfId="223" applyNumberFormat="1" applyFont="1" applyAlignment="1" applyProtection="1">
      <alignment horizontal="center" vertical="center" wrapText="1"/>
      <protection locked="0" hidden="1"/>
    </xf>
    <xf numFmtId="44" fontId="30" fillId="0" borderId="0" xfId="0" applyNumberFormat="1" applyFont="1" applyAlignment="1" applyProtection="1">
      <alignment horizontal="center"/>
      <protection locked="0" hidden="1"/>
    </xf>
    <xf numFmtId="0" fontId="25" fillId="0" borderId="0" xfId="0" applyFont="1" applyAlignment="1" applyProtection="1">
      <alignment horizontal="right" wrapText="1"/>
      <protection locked="0" hidden="1"/>
    </xf>
    <xf numFmtId="0" fontId="25" fillId="0" borderId="27" xfId="0" applyFont="1" applyBorder="1" applyAlignment="1" applyProtection="1">
      <alignment horizontal="right" wrapText="1"/>
      <protection locked="0" hidden="1"/>
    </xf>
    <xf numFmtId="164" fontId="25" fillId="0" borderId="20" xfId="223" applyNumberFormat="1" applyFont="1" applyBorder="1" applyAlignment="1" applyProtection="1">
      <alignment horizontal="center"/>
      <protection locked="0" hidden="1"/>
    </xf>
    <xf numFmtId="0" fontId="0" fillId="0" borderId="18" xfId="0" applyBorder="1" applyAlignment="1" applyProtection="1">
      <alignment horizontal="center"/>
      <protection locked="0" hidden="1"/>
    </xf>
    <xf numFmtId="0" fontId="26" fillId="0" borderId="0" xfId="0" applyFont="1" applyAlignment="1" applyProtection="1">
      <alignment horizontal="left" wrapText="1"/>
      <protection locked="0" hidden="1"/>
    </xf>
    <xf numFmtId="0" fontId="0" fillId="0" borderId="22" xfId="0" applyBorder="1" applyAlignment="1" applyProtection="1">
      <alignment horizontal="left"/>
      <protection locked="0" hidden="1"/>
    </xf>
    <xf numFmtId="0" fontId="26" fillId="0" borderId="0" xfId="0" applyFont="1" applyProtection="1">
      <protection locked="0" hidden="1"/>
    </xf>
    <xf numFmtId="0" fontId="26" fillId="0" borderId="22" xfId="0" applyFont="1" applyBorder="1" applyProtection="1">
      <protection locked="0" hidden="1"/>
    </xf>
    <xf numFmtId="0" fontId="26" fillId="0" borderId="27" xfId="0" applyFont="1" applyBorder="1" applyAlignment="1" applyProtection="1">
      <alignment horizontal="left" wrapText="1"/>
      <protection locked="0" hidden="1"/>
    </xf>
    <xf numFmtId="0" fontId="0" fillId="0" borderId="28" xfId="0" applyBorder="1" applyAlignment="1" applyProtection="1">
      <alignment horizontal="left"/>
      <protection locked="0" hidden="1"/>
    </xf>
    <xf numFmtId="0" fontId="26" fillId="0" borderId="27" xfId="0" applyFont="1" applyBorder="1" applyProtection="1">
      <protection locked="0" hidden="1"/>
    </xf>
    <xf numFmtId="0" fontId="26" fillId="0" borderId="28" xfId="0" applyFont="1" applyBorder="1" applyProtection="1">
      <protection locked="0" hidden="1"/>
    </xf>
    <xf numFmtId="166" fontId="26" fillId="0" borderId="0" xfId="0" applyNumberFormat="1" applyFont="1" applyAlignment="1" applyProtection="1">
      <alignment horizontal="left" wrapText="1"/>
      <protection locked="0" hidden="1"/>
    </xf>
    <xf numFmtId="8" fontId="26" fillId="0" borderId="0" xfId="0" applyNumberFormat="1" applyFont="1" applyAlignment="1" applyProtection="1">
      <alignment horizontal="left"/>
      <protection locked="0" hidden="1"/>
    </xf>
    <xf numFmtId="8" fontId="26" fillId="0" borderId="22" xfId="0" applyNumberFormat="1" applyFont="1" applyBorder="1" applyAlignment="1" applyProtection="1">
      <alignment horizontal="left"/>
      <protection locked="0" hidden="1"/>
    </xf>
    <xf numFmtId="44" fontId="30" fillId="0" borderId="23" xfId="0" applyNumberFormat="1" applyFont="1" applyBorder="1" applyAlignment="1" applyProtection="1">
      <alignment horizontal="center"/>
      <protection locked="0" hidden="1"/>
    </xf>
    <xf numFmtId="44" fontId="30" fillId="0" borderId="41" xfId="0" applyNumberFormat="1" applyFont="1" applyBorder="1" applyAlignment="1" applyProtection="1">
      <alignment horizontal="center"/>
      <protection locked="0" hidden="1"/>
    </xf>
    <xf numFmtId="44" fontId="30" fillId="0" borderId="31" xfId="0" applyNumberFormat="1" applyFont="1" applyBorder="1" applyAlignment="1" applyProtection="1">
      <alignment horizontal="center"/>
      <protection locked="0" hidden="1"/>
    </xf>
    <xf numFmtId="0" fontId="34" fillId="0" borderId="23" xfId="0" applyFont="1" applyBorder="1" applyAlignment="1" applyProtection="1">
      <alignment horizontal="center"/>
      <protection locked="0" hidden="1"/>
    </xf>
    <xf numFmtId="0" fontId="0" fillId="0" borderId="31" xfId="0" applyBorder="1" applyProtection="1">
      <protection locked="0" hidden="1"/>
    </xf>
    <xf numFmtId="0" fontId="5" fillId="0" borderId="0" xfId="0" applyFont="1" applyAlignment="1" applyProtection="1">
      <alignment wrapText="1"/>
      <protection locked="0" hidden="1"/>
    </xf>
    <xf numFmtId="0" fontId="32" fillId="0" borderId="0" xfId="0" applyFont="1" applyAlignment="1" applyProtection="1">
      <alignment horizontal="center" vertical="center" wrapText="1"/>
      <protection locked="0" hidden="1"/>
    </xf>
    <xf numFmtId="44" fontId="32" fillId="4" borderId="24" xfId="0" applyNumberFormat="1" applyFont="1" applyFill="1" applyBorder="1" applyAlignment="1" applyProtection="1">
      <alignment horizontal="center"/>
      <protection locked="0" hidden="1"/>
    </xf>
    <xf numFmtId="0" fontId="5" fillId="0" borderId="33" xfId="303" applyBorder="1" applyAlignment="1" applyProtection="1">
      <alignment horizontal="center" vertical="center"/>
      <protection hidden="1"/>
    </xf>
    <xf numFmtId="0" fontId="26" fillId="59" borderId="15" xfId="303" applyFont="1" applyFill="1" applyBorder="1" applyAlignment="1" applyProtection="1">
      <alignment horizontal="center" vertical="center" wrapText="1"/>
      <protection locked="0" hidden="1"/>
    </xf>
    <xf numFmtId="0" fontId="5" fillId="59" borderId="33" xfId="303" applyFill="1" applyBorder="1" applyAlignment="1" applyProtection="1">
      <alignment horizontal="center"/>
      <protection locked="0" hidden="1"/>
    </xf>
    <xf numFmtId="0" fontId="5" fillId="59" borderId="16" xfId="303" applyFill="1" applyBorder="1" applyAlignment="1" applyProtection="1">
      <alignment horizontal="center"/>
      <protection locked="0" hidden="1"/>
    </xf>
    <xf numFmtId="0" fontId="5" fillId="0" borderId="0" xfId="303" applyAlignment="1" applyProtection="1">
      <alignment horizontal="right"/>
      <protection locked="0" hidden="1"/>
    </xf>
    <xf numFmtId="0" fontId="34" fillId="0" borderId="17" xfId="303" applyFont="1" applyBorder="1" applyAlignment="1" applyProtection="1">
      <alignment horizontal="center" vertical="center"/>
      <protection locked="0" hidden="1"/>
    </xf>
    <xf numFmtId="0" fontId="5" fillId="0" borderId="17" xfId="303" applyBorder="1" applyAlignment="1" applyProtection="1">
      <alignment horizontal="center" vertical="center"/>
      <protection locked="0" hidden="1"/>
    </xf>
    <xf numFmtId="0" fontId="5" fillId="0" borderId="15" xfId="303" applyBorder="1" applyAlignment="1" applyProtection="1">
      <alignment horizontal="center" vertical="center"/>
      <protection locked="0" hidden="1"/>
    </xf>
    <xf numFmtId="0" fontId="5" fillId="0" borderId="16" xfId="303" applyBorder="1" applyAlignment="1" applyProtection="1">
      <alignment horizontal="center" vertical="center"/>
      <protection hidden="1"/>
    </xf>
    <xf numFmtId="0" fontId="26" fillId="0" borderId="0" xfId="303" applyFont="1" applyAlignment="1" applyProtection="1">
      <alignment horizontal="left" wrapText="1"/>
      <protection locked="0" hidden="1"/>
    </xf>
    <xf numFmtId="0" fontId="5" fillId="0" borderId="22" xfId="303" applyBorder="1" applyAlignment="1" applyProtection="1">
      <alignment horizontal="left"/>
      <protection locked="0" hidden="1"/>
    </xf>
    <xf numFmtId="0" fontId="26" fillId="0" borderId="0" xfId="303" applyFont="1" applyProtection="1">
      <protection locked="0" hidden="1"/>
    </xf>
    <xf numFmtId="0" fontId="26" fillId="0" borderId="22" xfId="303" applyFont="1" applyBorder="1" applyProtection="1">
      <protection locked="0" hidden="1"/>
    </xf>
    <xf numFmtId="0" fontId="26" fillId="0" borderId="27" xfId="303" applyFont="1" applyBorder="1" applyAlignment="1" applyProtection="1">
      <alignment horizontal="left" wrapText="1"/>
      <protection locked="0" hidden="1"/>
    </xf>
    <xf numFmtId="0" fontId="5" fillId="0" borderId="28" xfId="303" applyBorder="1" applyAlignment="1" applyProtection="1">
      <alignment horizontal="left"/>
      <protection locked="0" hidden="1"/>
    </xf>
    <xf numFmtId="0" fontId="26" fillId="0" borderId="27" xfId="303" applyFont="1" applyBorder="1" applyProtection="1">
      <protection locked="0" hidden="1"/>
    </xf>
    <xf numFmtId="0" fontId="26" fillId="0" borderId="28" xfId="303" applyFont="1" applyBorder="1" applyProtection="1">
      <protection locked="0" hidden="1"/>
    </xf>
    <xf numFmtId="0" fontId="5" fillId="0" borderId="18" xfId="303" applyBorder="1" applyAlignment="1" applyProtection="1">
      <alignment horizontal="center"/>
      <protection locked="0" hidden="1"/>
    </xf>
    <xf numFmtId="166" fontId="26" fillId="0" borderId="0" xfId="303" applyNumberFormat="1" applyFont="1" applyAlignment="1" applyProtection="1">
      <alignment horizontal="left" wrapText="1"/>
      <protection locked="0" hidden="1"/>
    </xf>
    <xf numFmtId="8" fontId="26" fillId="0" borderId="0" xfId="303" applyNumberFormat="1" applyFont="1" applyAlignment="1" applyProtection="1">
      <alignment horizontal="left"/>
      <protection locked="0" hidden="1"/>
    </xf>
    <xf numFmtId="8" fontId="26" fillId="0" borderId="22" xfId="303" applyNumberFormat="1" applyFont="1" applyBorder="1" applyAlignment="1" applyProtection="1">
      <alignment horizontal="left"/>
      <protection locked="0" hidden="1"/>
    </xf>
    <xf numFmtId="44" fontId="30" fillId="0" borderId="23" xfId="303" applyNumberFormat="1" applyFont="1" applyBorder="1" applyAlignment="1" applyProtection="1">
      <alignment horizontal="center"/>
      <protection locked="0" hidden="1"/>
    </xf>
    <xf numFmtId="44" fontId="30" fillId="0" borderId="41" xfId="303" applyNumberFormat="1" applyFont="1" applyBorder="1" applyAlignment="1" applyProtection="1">
      <alignment horizontal="center"/>
      <protection locked="0" hidden="1"/>
    </xf>
    <xf numFmtId="44" fontId="30" fillId="0" borderId="31" xfId="303" applyNumberFormat="1" applyFont="1" applyBorder="1" applyAlignment="1" applyProtection="1">
      <alignment horizontal="center"/>
      <protection locked="0" hidden="1"/>
    </xf>
    <xf numFmtId="0" fontId="34" fillId="0" borderId="23" xfId="303" applyFont="1" applyBorder="1" applyAlignment="1" applyProtection="1">
      <alignment horizontal="center"/>
      <protection locked="0" hidden="1"/>
    </xf>
    <xf numFmtId="0" fontId="5" fillId="0" borderId="31" xfId="303" applyBorder="1" applyProtection="1">
      <protection locked="0" hidden="1"/>
    </xf>
    <xf numFmtId="0" fontId="5" fillId="0" borderId="0" xfId="303" applyAlignment="1" applyProtection="1">
      <alignment wrapText="1"/>
      <protection locked="0" hidden="1"/>
    </xf>
    <xf numFmtId="44" fontId="32" fillId="4" borderId="24" xfId="303" applyNumberFormat="1" applyFont="1" applyFill="1" applyBorder="1" applyAlignment="1" applyProtection="1">
      <alignment horizontal="center"/>
      <protection locked="0" hidden="1"/>
    </xf>
    <xf numFmtId="0" fontId="47" fillId="0" borderId="0" xfId="303" applyFont="1" applyAlignment="1" applyProtection="1">
      <alignment horizontal="center" vertical="center"/>
      <protection locked="0" hidden="1"/>
    </xf>
    <xf numFmtId="0" fontId="25" fillId="0" borderId="42" xfId="303" applyFont="1" applyBorder="1" applyAlignment="1" applyProtection="1">
      <alignment horizontal="center" vertical="center" wrapText="1"/>
      <protection locked="0" hidden="1"/>
    </xf>
    <xf numFmtId="0" fontId="5" fillId="0" borderId="42" xfId="303" applyBorder="1" applyProtection="1">
      <protection locked="0" hidden="1"/>
    </xf>
    <xf numFmtId="0" fontId="5" fillId="0" borderId="0" xfId="303" applyAlignment="1" applyProtection="1">
      <alignment horizontal="left"/>
      <protection locked="0" hidden="1"/>
    </xf>
    <xf numFmtId="0" fontId="26" fillId="0" borderId="28" xfId="303" applyFont="1" applyBorder="1" applyAlignment="1" applyProtection="1">
      <alignment horizontal="left" wrapText="1"/>
      <protection locked="0" hidden="1"/>
    </xf>
    <xf numFmtId="0" fontId="26" fillId="0" borderId="22" xfId="303" applyFont="1" applyBorder="1" applyAlignment="1" applyProtection="1">
      <alignment horizontal="left" wrapText="1"/>
      <protection locked="0" hidden="1"/>
    </xf>
    <xf numFmtId="49" fontId="41" fillId="0" borderId="15" xfId="303" applyNumberFormat="1" applyFont="1" applyBorder="1" applyAlignment="1" applyProtection="1">
      <alignment horizontal="center" vertical="center"/>
      <protection locked="0" hidden="1"/>
    </xf>
    <xf numFmtId="0" fontId="5" fillId="0" borderId="33" xfId="303" applyBorder="1" applyAlignment="1" applyProtection="1">
      <alignment horizontal="center" vertical="center"/>
      <protection locked="0" hidden="1"/>
    </xf>
    <xf numFmtId="0" fontId="5" fillId="0" borderId="33" xfId="303" applyBorder="1" applyAlignment="1" applyProtection="1">
      <alignment horizontal="center"/>
      <protection hidden="1"/>
    </xf>
    <xf numFmtId="44" fontId="5" fillId="0" borderId="33" xfId="303" applyNumberFormat="1" applyBorder="1" applyAlignment="1" applyProtection="1">
      <alignment horizontal="center" vertical="center"/>
      <protection hidden="1"/>
    </xf>
    <xf numFmtId="44" fontId="5" fillId="0" borderId="16" xfId="303" applyNumberFormat="1" applyBorder="1" applyAlignment="1" applyProtection="1">
      <alignment horizontal="center" vertical="center"/>
      <protection hidden="1"/>
    </xf>
    <xf numFmtId="44" fontId="34" fillId="0" borderId="17" xfId="223" applyFont="1" applyFill="1" applyBorder="1" applyAlignment="1" applyProtection="1">
      <alignment horizontal="center" vertical="center"/>
      <protection hidden="1"/>
    </xf>
    <xf numFmtId="44" fontId="5" fillId="0" borderId="17" xfId="303" applyNumberFormat="1" applyBorder="1" applyAlignment="1" applyProtection="1">
      <alignment horizontal="center" vertical="center"/>
      <protection hidden="1"/>
    </xf>
    <xf numFmtId="0" fontId="5" fillId="59" borderId="15" xfId="303" applyFill="1" applyBorder="1" applyAlignment="1" applyProtection="1">
      <alignment horizontal="center"/>
      <protection locked="0" hidden="1"/>
    </xf>
    <xf numFmtId="0" fontId="34" fillId="0" borderId="0" xfId="303" applyFont="1" applyAlignment="1" applyProtection="1">
      <alignment horizontal="right" wrapText="1"/>
      <protection locked="0" hidden="1"/>
    </xf>
    <xf numFmtId="0" fontId="5" fillId="0" borderId="0" xfId="303" applyAlignment="1" applyProtection="1">
      <alignment horizontal="right" wrapText="1"/>
      <protection locked="0" hidden="1"/>
    </xf>
    <xf numFmtId="44" fontId="5" fillId="0" borderId="15" xfId="303" applyNumberFormat="1" applyBorder="1" applyAlignment="1" applyProtection="1">
      <alignment horizontal="center" vertical="center"/>
      <protection hidden="1"/>
    </xf>
    <xf numFmtId="0" fontId="34" fillId="24" borderId="20" xfId="303" applyFont="1" applyFill="1" applyBorder="1" applyAlignment="1" applyProtection="1">
      <alignment horizontal="left" wrapText="1"/>
      <protection locked="0" hidden="1"/>
    </xf>
    <xf numFmtId="0" fontId="47" fillId="0" borderId="0" xfId="0" applyFont="1" applyAlignment="1" applyProtection="1">
      <alignment horizontal="center" vertical="center"/>
      <protection locked="0" hidden="1"/>
    </xf>
    <xf numFmtId="0" fontId="25" fillId="0" borderId="42" xfId="0" applyFont="1" applyBorder="1" applyAlignment="1" applyProtection="1">
      <alignment horizontal="center" vertical="center" wrapText="1"/>
      <protection locked="0" hidden="1"/>
    </xf>
    <xf numFmtId="0" fontId="0" fillId="0" borderId="42" xfId="0" applyBorder="1" applyProtection="1">
      <protection locked="0" hidden="1"/>
    </xf>
    <xf numFmtId="44" fontId="32" fillId="4" borderId="27" xfId="0" applyNumberFormat="1" applyFont="1" applyFill="1" applyBorder="1" applyAlignment="1" applyProtection="1">
      <alignment horizontal="center"/>
      <protection locked="0" hidden="1"/>
    </xf>
    <xf numFmtId="0" fontId="34" fillId="0" borderId="41" xfId="0" applyFont="1" applyBorder="1" applyAlignment="1" applyProtection="1">
      <alignment horizontal="center"/>
      <protection locked="0" hidden="1"/>
    </xf>
    <xf numFmtId="0" fontId="34" fillId="0" borderId="31" xfId="0" applyFont="1" applyBorder="1" applyAlignment="1" applyProtection="1">
      <alignment horizontal="center"/>
      <protection locked="0" hidden="1"/>
    </xf>
    <xf numFmtId="0" fontId="26" fillId="0" borderId="22" xfId="0" applyFont="1" applyBorder="1" applyAlignment="1" applyProtection="1">
      <alignment horizontal="left" wrapText="1"/>
      <protection locked="0" hidden="1"/>
    </xf>
    <xf numFmtId="166" fontId="26" fillId="0" borderId="22" xfId="0" applyNumberFormat="1" applyFont="1" applyBorder="1" applyAlignment="1" applyProtection="1">
      <alignment horizontal="left" wrapText="1"/>
      <protection locked="0" hidden="1"/>
    </xf>
    <xf numFmtId="0" fontId="26" fillId="0" borderId="28" xfId="0" applyFont="1" applyBorder="1" applyAlignment="1" applyProtection="1">
      <alignment horizontal="left" wrapText="1"/>
      <protection locked="0" hidden="1"/>
    </xf>
    <xf numFmtId="0" fontId="5" fillId="0" borderId="28" xfId="0" applyFont="1" applyBorder="1" applyProtection="1">
      <protection locked="0" hidden="1"/>
    </xf>
    <xf numFmtId="0" fontId="34" fillId="0" borderId="33" xfId="0" applyFont="1" applyBorder="1" applyAlignment="1" applyProtection="1">
      <alignment horizontal="center" vertical="center"/>
      <protection locked="0" hidden="1"/>
    </xf>
    <xf numFmtId="49" fontId="41" fillId="0" borderId="15" xfId="0" applyNumberFormat="1" applyFont="1" applyBorder="1" applyAlignment="1" applyProtection="1">
      <alignment horizontal="center" vertical="center"/>
      <protection locked="0" hidden="1"/>
    </xf>
    <xf numFmtId="0" fontId="0" fillId="0" borderId="33" xfId="0" applyBorder="1" applyAlignment="1" applyProtection="1">
      <alignment horizontal="center" vertical="center"/>
      <protection locked="0" hidden="1"/>
    </xf>
    <xf numFmtId="44" fontId="34" fillId="0" borderId="15" xfId="222" applyFont="1" applyFill="1" applyBorder="1" applyAlignment="1" applyProtection="1">
      <alignment horizontal="center" vertical="center"/>
      <protection locked="0" hidden="1"/>
    </xf>
    <xf numFmtId="44" fontId="0" fillId="0" borderId="33" xfId="0" applyNumberFormat="1" applyBorder="1" applyAlignment="1" applyProtection="1">
      <alignment horizontal="center" vertical="center"/>
      <protection locked="0" hidden="1"/>
    </xf>
    <xf numFmtId="44" fontId="0" fillId="0" borderId="16" xfId="0" applyNumberFormat="1" applyBorder="1" applyAlignment="1" applyProtection="1">
      <alignment horizontal="center" vertical="center"/>
      <protection locked="0" hidden="1"/>
    </xf>
    <xf numFmtId="44" fontId="34" fillId="0" borderId="17" xfId="222" applyFont="1" applyFill="1" applyBorder="1" applyAlignment="1" applyProtection="1">
      <alignment horizontal="center" vertical="center"/>
      <protection locked="0" hidden="1"/>
    </xf>
    <xf numFmtId="44" fontId="0" fillId="0" borderId="17" xfId="0" applyNumberFormat="1" applyBorder="1" applyAlignment="1" applyProtection="1">
      <alignment horizontal="center" vertical="center"/>
      <protection locked="0" hidden="1"/>
    </xf>
    <xf numFmtId="0" fontId="36" fillId="0" borderId="0" xfId="0" applyFont="1" applyAlignment="1" applyProtection="1">
      <alignment horizontal="center"/>
      <protection locked="0" hidden="1"/>
    </xf>
    <xf numFmtId="0" fontId="0" fillId="0" borderId="33" xfId="0" applyBorder="1" applyAlignment="1" applyProtection="1">
      <alignment horizontal="center"/>
      <protection locked="0" hidden="1"/>
    </xf>
    <xf numFmtId="0" fontId="34" fillId="24" borderId="20" xfId="0" applyFont="1" applyFill="1" applyBorder="1" applyAlignment="1" applyProtection="1">
      <alignment horizontal="left" wrapText="1"/>
      <protection locked="0" hidden="1"/>
    </xf>
    <xf numFmtId="0" fontId="0" fillId="0" borderId="18" xfId="0" applyBorder="1" applyProtection="1">
      <protection hidden="1"/>
    </xf>
    <xf numFmtId="0" fontId="0" fillId="0" borderId="19" xfId="0" applyBorder="1" applyProtection="1">
      <protection hidden="1"/>
    </xf>
    <xf numFmtId="0" fontId="0" fillId="24" borderId="15" xfId="0" applyFill="1" applyBorder="1" applyAlignment="1" applyProtection="1">
      <alignment horizontal="center"/>
      <protection locked="0" hidden="1"/>
    </xf>
    <xf numFmtId="0" fontId="0" fillId="24" borderId="33" xfId="0" applyFill="1" applyBorder="1" applyAlignment="1" applyProtection="1">
      <alignment horizontal="center"/>
      <protection locked="0" hidden="1"/>
    </xf>
    <xf numFmtId="0" fontId="0" fillId="24" borderId="16" xfId="0" applyFill="1" applyBorder="1" applyAlignment="1" applyProtection="1">
      <alignment horizontal="center"/>
      <protection locked="0" hidden="1"/>
    </xf>
    <xf numFmtId="0" fontId="34" fillId="0" borderId="0" xfId="0" applyFont="1" applyAlignment="1" applyProtection="1">
      <alignment horizontal="right"/>
      <protection locked="0" hidden="1"/>
    </xf>
    <xf numFmtId="0" fontId="5" fillId="0" borderId="0" xfId="0" applyFont="1" applyAlignment="1" applyProtection="1">
      <alignment horizontal="right"/>
      <protection locked="0" hidden="1"/>
    </xf>
    <xf numFmtId="44" fontId="0" fillId="0" borderId="33" xfId="0" applyNumberFormat="1" applyBorder="1" applyAlignment="1" applyProtection="1">
      <alignment horizontal="center" vertical="center"/>
      <protection hidden="1"/>
    </xf>
    <xf numFmtId="44" fontId="34" fillId="0" borderId="17" xfId="222" applyFont="1" applyFill="1" applyBorder="1" applyAlignment="1" applyProtection="1">
      <alignment horizontal="center" vertical="center"/>
      <protection hidden="1"/>
    </xf>
    <xf numFmtId="44" fontId="0" fillId="0" borderId="15" xfId="0" applyNumberFormat="1" applyBorder="1" applyAlignment="1" applyProtection="1">
      <alignment horizontal="center" vertical="center"/>
      <protection hidden="1"/>
    </xf>
    <xf numFmtId="0" fontId="0" fillId="0" borderId="33" xfId="0" applyBorder="1" applyAlignment="1" applyProtection="1">
      <alignment horizontal="center"/>
      <protection hidden="1"/>
    </xf>
    <xf numFmtId="44" fontId="0" fillId="0" borderId="17" xfId="0" applyNumberFormat="1" applyBorder="1" applyAlignment="1" applyProtection="1">
      <alignment horizontal="center" vertical="center"/>
      <protection hidden="1"/>
    </xf>
    <xf numFmtId="0" fontId="5" fillId="24" borderId="15" xfId="303" applyFill="1" applyBorder="1" applyAlignment="1" applyProtection="1">
      <alignment horizontal="center"/>
      <protection locked="0" hidden="1"/>
    </xf>
    <xf numFmtId="0" fontId="5" fillId="24" borderId="33" xfId="303" applyFill="1" applyBorder="1" applyAlignment="1" applyProtection="1">
      <alignment horizontal="center"/>
      <protection locked="0" hidden="1"/>
    </xf>
    <xf numFmtId="0" fontId="5" fillId="24" borderId="16" xfId="303" applyFill="1" applyBorder="1" applyAlignment="1" applyProtection="1">
      <alignment horizontal="center"/>
      <protection locked="0" hidden="1"/>
    </xf>
    <xf numFmtId="0" fontId="34" fillId="0" borderId="0" xfId="303" applyFont="1" applyAlignment="1" applyProtection="1">
      <alignment horizontal="right"/>
      <protection locked="0" hidden="1"/>
    </xf>
    <xf numFmtId="44" fontId="32" fillId="4" borderId="27" xfId="303" applyNumberFormat="1" applyFont="1" applyFill="1" applyBorder="1" applyAlignment="1" applyProtection="1">
      <alignment horizontal="center"/>
      <protection locked="0" hidden="1"/>
    </xf>
    <xf numFmtId="0" fontId="34" fillId="0" borderId="41" xfId="303" applyFont="1" applyBorder="1" applyAlignment="1" applyProtection="1">
      <alignment horizontal="center"/>
      <protection locked="0" hidden="1"/>
    </xf>
    <xf numFmtId="0" fontId="34" fillId="0" borderId="31" xfId="303" applyFont="1" applyBorder="1" applyAlignment="1" applyProtection="1">
      <alignment horizontal="center"/>
      <protection locked="0" hidden="1"/>
    </xf>
    <xf numFmtId="166" fontId="26" fillId="0" borderId="22" xfId="303" applyNumberFormat="1" applyFont="1" applyBorder="1" applyAlignment="1" applyProtection="1">
      <alignment horizontal="left" wrapText="1"/>
      <protection locked="0" hidden="1"/>
    </xf>
    <xf numFmtId="0" fontId="26" fillId="24" borderId="15" xfId="303" applyFont="1" applyFill="1" applyBorder="1" applyAlignment="1" applyProtection="1">
      <alignment horizontal="center" vertical="center" wrapText="1"/>
      <protection locked="0" hidden="1"/>
    </xf>
    <xf numFmtId="0" fontId="5" fillId="0" borderId="33" xfId="303" applyBorder="1" applyAlignment="1" applyProtection="1">
      <alignment horizontal="center"/>
      <protection locked="0" hidden="1"/>
    </xf>
    <xf numFmtId="0" fontId="5" fillId="0" borderId="16" xfId="303" applyBorder="1" applyAlignment="1" applyProtection="1">
      <alignment horizontal="center"/>
      <protection locked="0" hidden="1"/>
    </xf>
    <xf numFmtId="0" fontId="26" fillId="59" borderId="15" xfId="303" applyFont="1" applyFill="1" applyBorder="1" applyAlignment="1" applyProtection="1">
      <alignment horizontal="center"/>
      <protection locked="0" hidden="1"/>
    </xf>
    <xf numFmtId="0" fontId="26" fillId="59" borderId="33" xfId="303" applyFont="1" applyFill="1" applyBorder="1" applyAlignment="1" applyProtection="1">
      <alignment horizontal="center"/>
      <protection locked="0" hidden="1"/>
    </xf>
    <xf numFmtId="0" fontId="26" fillId="59" borderId="16" xfId="303" applyFont="1" applyFill="1" applyBorder="1" applyAlignment="1" applyProtection="1">
      <alignment horizontal="center"/>
      <protection locked="0" hidden="1"/>
    </xf>
    <xf numFmtId="44" fontId="5" fillId="0" borderId="33" xfId="303" applyNumberFormat="1" applyBorder="1" applyAlignment="1" applyProtection="1">
      <alignment horizontal="center" vertical="center"/>
      <protection locked="0" hidden="1"/>
    </xf>
    <xf numFmtId="44" fontId="5" fillId="0" borderId="16" xfId="303" applyNumberFormat="1" applyBorder="1" applyAlignment="1" applyProtection="1">
      <alignment horizontal="center" vertical="center"/>
      <protection locked="0" hidden="1"/>
    </xf>
    <xf numFmtId="44" fontId="32" fillId="4" borderId="0" xfId="374" applyNumberFormat="1" applyFont="1" applyFill="1" applyAlignment="1" applyProtection="1">
      <alignment horizontal="center"/>
      <protection locked="0" hidden="1"/>
    </xf>
    <xf numFmtId="44" fontId="34" fillId="0" borderId="17" xfId="223" applyFont="1" applyFill="1" applyBorder="1" applyAlignment="1" applyProtection="1">
      <alignment horizontal="center" vertical="center"/>
      <protection locked="0" hidden="1"/>
    </xf>
    <xf numFmtId="44" fontId="5" fillId="0" borderId="17" xfId="303" applyNumberFormat="1" applyBorder="1" applyAlignment="1" applyProtection="1">
      <alignment horizontal="center" vertical="center"/>
      <protection locked="0" hidden="1"/>
    </xf>
    <xf numFmtId="0" fontId="5" fillId="0" borderId="33" xfId="303" applyBorder="1" applyProtection="1">
      <protection locked="0" hidden="1"/>
    </xf>
    <xf numFmtId="0" fontId="36" fillId="0" borderId="41" xfId="303" applyFont="1" applyBorder="1" applyAlignment="1" applyProtection="1">
      <alignment horizontal="right"/>
      <protection locked="0" hidden="1"/>
    </xf>
    <xf numFmtId="0" fontId="34" fillId="0" borderId="15" xfId="223" applyNumberFormat="1" applyFont="1" applyFill="1" applyBorder="1" applyAlignment="1" applyProtection="1">
      <alignment horizontal="center" vertical="center"/>
      <protection locked="0" hidden="1"/>
    </xf>
    <xf numFmtId="44" fontId="34" fillId="0" borderId="15" xfId="223" applyFont="1" applyFill="1" applyBorder="1" applyAlignment="1" applyProtection="1">
      <alignment horizontal="left" vertical="center"/>
      <protection hidden="1"/>
    </xf>
    <xf numFmtId="0" fontId="5" fillId="0" borderId="33" xfId="303" applyBorder="1" applyProtection="1">
      <protection hidden="1"/>
    </xf>
    <xf numFmtId="44" fontId="34" fillId="0" borderId="15" xfId="223" applyFont="1" applyFill="1" applyBorder="1" applyAlignment="1" applyProtection="1">
      <alignment horizontal="left" vertical="center"/>
      <protection locked="0" hidden="1"/>
    </xf>
    <xf numFmtId="0" fontId="29" fillId="0" borderId="0" xfId="303" applyFont="1" applyAlignment="1" applyProtection="1">
      <alignment horizontal="center" vertical="center" wrapText="1"/>
      <protection locked="0" hidden="1"/>
    </xf>
    <xf numFmtId="0" fontId="5" fillId="0" borderId="17" xfId="303" applyBorder="1" applyAlignment="1" applyProtection="1">
      <alignment horizontal="center"/>
      <protection locked="0" hidden="1"/>
    </xf>
    <xf numFmtId="49" fontId="34" fillId="0" borderId="15" xfId="303" applyNumberFormat="1" applyFont="1" applyBorder="1" applyAlignment="1" applyProtection="1">
      <alignment horizontal="center" vertical="center" wrapText="1"/>
      <protection locked="0" hidden="1"/>
    </xf>
    <xf numFmtId="0" fontId="5" fillId="0" borderId="15" xfId="303" applyBorder="1" applyAlignment="1" applyProtection="1">
      <alignment horizontal="center"/>
      <protection locked="0" hidden="1"/>
    </xf>
    <xf numFmtId="44" fontId="34" fillId="0" borderId="33" xfId="223" applyFont="1" applyFill="1" applyBorder="1" applyAlignment="1" applyProtection="1">
      <alignment horizontal="center" vertical="center"/>
      <protection locked="0" hidden="1"/>
    </xf>
    <xf numFmtId="49" fontId="34" fillId="0" borderId="33" xfId="303" applyNumberFormat="1" applyFont="1" applyBorder="1" applyAlignment="1" applyProtection="1">
      <alignment horizontal="center" vertical="center" wrapText="1"/>
      <protection locked="0" hidden="1"/>
    </xf>
    <xf numFmtId="49" fontId="34" fillId="0" borderId="16" xfId="303" applyNumberFormat="1" applyFont="1" applyBorder="1" applyAlignment="1" applyProtection="1">
      <alignment horizontal="center" vertical="center" wrapText="1"/>
      <protection locked="0" hidden="1"/>
    </xf>
    <xf numFmtId="164" fontId="25" fillId="0" borderId="19" xfId="223" applyNumberFormat="1" applyFont="1" applyFill="1" applyBorder="1" applyAlignment="1" applyProtection="1">
      <alignment horizontal="center"/>
      <protection locked="0" hidden="1"/>
    </xf>
    <xf numFmtId="0" fontId="34" fillId="24" borderId="18" xfId="303" applyFont="1" applyFill="1" applyBorder="1" applyAlignment="1" applyProtection="1">
      <alignment horizontal="left" wrapText="1"/>
      <protection locked="0" hidden="1"/>
    </xf>
    <xf numFmtId="0" fontId="34" fillId="24" borderId="19" xfId="303" applyFont="1" applyFill="1" applyBorder="1" applyAlignment="1" applyProtection="1">
      <alignment horizontal="left" wrapText="1"/>
      <protection locked="0" hidden="1"/>
    </xf>
    <xf numFmtId="0" fontId="25" fillId="0" borderId="19" xfId="303" applyFont="1" applyBorder="1" applyAlignment="1" applyProtection="1">
      <alignment horizontal="center"/>
      <protection locked="0" hidden="1"/>
    </xf>
    <xf numFmtId="0" fontId="0" fillId="0" borderId="17" xfId="0" applyBorder="1" applyAlignment="1" applyProtection="1">
      <alignment horizontal="center"/>
      <protection locked="0" hidden="1"/>
    </xf>
    <xf numFmtId="0" fontId="0" fillId="0" borderId="15" xfId="0" applyBorder="1" applyAlignment="1" applyProtection="1">
      <alignment horizontal="center"/>
      <protection locked="0" hidden="1"/>
    </xf>
    <xf numFmtId="49" fontId="34" fillId="0" borderId="15" xfId="0" applyNumberFormat="1" applyFont="1" applyBorder="1" applyAlignment="1" applyProtection="1">
      <alignment horizontal="center" vertical="center" wrapText="1"/>
      <protection locked="0" hidden="1"/>
    </xf>
    <xf numFmtId="164" fontId="25" fillId="0" borderId="20" xfId="222" applyNumberFormat="1" applyFont="1" applyFill="1" applyBorder="1" applyAlignment="1" applyProtection="1">
      <alignment horizontal="center"/>
      <protection locked="0" hidden="1"/>
    </xf>
    <xf numFmtId="0" fontId="0" fillId="0" borderId="0" xfId="0" applyAlignment="1" applyProtection="1">
      <alignment vertical="center"/>
      <protection locked="0" hidden="1"/>
    </xf>
    <xf numFmtId="0" fontId="25" fillId="24" borderId="20" xfId="303" applyFont="1" applyFill="1" applyBorder="1" applyAlignment="1" applyProtection="1">
      <alignment horizontal="left"/>
      <protection locked="0" hidden="1"/>
    </xf>
    <xf numFmtId="0" fontId="34" fillId="0" borderId="33" xfId="223" applyNumberFormat="1" applyFont="1" applyFill="1" applyBorder="1" applyAlignment="1" applyProtection="1">
      <alignment horizontal="center" vertical="center"/>
      <protection locked="0" hidden="1"/>
    </xf>
    <xf numFmtId="44" fontId="34" fillId="0" borderId="33" xfId="223" applyFont="1" applyFill="1" applyBorder="1" applyAlignment="1" applyProtection="1">
      <alignment horizontal="left" vertical="center"/>
      <protection locked="0" hidden="1"/>
    </xf>
    <xf numFmtId="164" fontId="26" fillId="0" borderId="41" xfId="223" applyNumberFormat="1" applyFont="1" applyBorder="1" applyAlignment="1" applyProtection="1">
      <alignment horizontal="center" vertical="center" wrapText="1"/>
      <protection locked="0" hidden="1"/>
    </xf>
    <xf numFmtId="0" fontId="25" fillId="24" borderId="20" xfId="0" applyFont="1" applyFill="1" applyBorder="1" applyAlignment="1" applyProtection="1">
      <alignment horizontal="left"/>
      <protection locked="0" hidden="1"/>
    </xf>
    <xf numFmtId="0" fontId="0" fillId="0" borderId="16" xfId="0" applyBorder="1" applyAlignment="1" applyProtection="1">
      <alignment horizontal="center"/>
      <protection locked="0" hidden="1"/>
    </xf>
    <xf numFmtId="0" fontId="0" fillId="0" borderId="41" xfId="0" applyBorder="1" applyAlignment="1" applyProtection="1">
      <alignment horizontal="right"/>
      <protection locked="0" hidden="1"/>
    </xf>
    <xf numFmtId="0" fontId="34" fillId="0" borderId="15" xfId="222" applyNumberFormat="1" applyFont="1" applyFill="1" applyBorder="1" applyAlignment="1" applyProtection="1">
      <alignment horizontal="center" vertical="center"/>
      <protection locked="0" hidden="1"/>
    </xf>
    <xf numFmtId="44" fontId="34" fillId="0" borderId="15" xfId="222" applyFont="1" applyFill="1" applyBorder="1" applyAlignment="1" applyProtection="1">
      <alignment horizontal="left" vertical="center"/>
      <protection locked="0" hidden="1"/>
    </xf>
    <xf numFmtId="0" fontId="0" fillId="0" borderId="33" xfId="0" applyBorder="1" applyProtection="1">
      <protection hidden="1"/>
    </xf>
    <xf numFmtId="164" fontId="26" fillId="0" borderId="0" xfId="222" applyNumberFormat="1" applyFont="1" applyAlignment="1" applyProtection="1">
      <alignment horizontal="center" vertical="center" wrapText="1"/>
      <protection locked="0" hidden="1"/>
    </xf>
    <xf numFmtId="0" fontId="56" fillId="24" borderId="33" xfId="303" applyFont="1" applyFill="1" applyBorder="1" applyAlignment="1" applyProtection="1">
      <alignment horizontal="center"/>
      <protection locked="0" hidden="1"/>
    </xf>
    <xf numFmtId="0" fontId="56" fillId="24" borderId="16" xfId="303" applyFont="1" applyFill="1" applyBorder="1" applyAlignment="1" applyProtection="1">
      <alignment horizontal="center"/>
      <protection locked="0" hidden="1"/>
    </xf>
    <xf numFmtId="0" fontId="62" fillId="0" borderId="41" xfId="303" applyFont="1" applyBorder="1" applyAlignment="1" applyProtection="1">
      <alignment horizontal="right"/>
      <protection locked="0" hidden="1"/>
    </xf>
    <xf numFmtId="0" fontId="62" fillId="0" borderId="41" xfId="303" applyFont="1" applyBorder="1" applyAlignment="1" applyProtection="1">
      <alignment horizontal="right"/>
      <protection hidden="1"/>
    </xf>
    <xf numFmtId="0" fontId="37" fillId="0" borderId="21" xfId="303" applyFont="1" applyBorder="1" applyAlignment="1" applyProtection="1">
      <alignment horizontal="right" wrapText="1"/>
      <protection locked="0" hidden="1"/>
    </xf>
    <xf numFmtId="0" fontId="37" fillId="0" borderId="0" xfId="303" applyFont="1" applyAlignment="1" applyProtection="1">
      <alignment horizontal="right" wrapText="1"/>
      <protection locked="0" hidden="1"/>
    </xf>
    <xf numFmtId="0" fontId="37" fillId="0" borderId="24" xfId="303" applyFont="1" applyBorder="1" applyAlignment="1" applyProtection="1">
      <alignment horizontal="center" wrapText="1"/>
      <protection locked="0" hidden="1"/>
    </xf>
    <xf numFmtId="0" fontId="37" fillId="0" borderId="27" xfId="303" applyFont="1" applyBorder="1" applyAlignment="1" applyProtection="1">
      <alignment horizontal="center" wrapText="1"/>
      <protection locked="0" hidden="1"/>
    </xf>
    <xf numFmtId="0" fontId="37" fillId="0" borderId="28" xfId="303" applyFont="1" applyBorder="1" applyAlignment="1" applyProtection="1">
      <alignment horizontal="center" wrapText="1"/>
      <protection locked="0" hidden="1"/>
    </xf>
    <xf numFmtId="8" fontId="37" fillId="0" borderId="0" xfId="303" applyNumberFormat="1" applyFont="1" applyAlignment="1" applyProtection="1">
      <alignment horizontal="right"/>
      <protection locked="0" hidden="1"/>
    </xf>
    <xf numFmtId="0" fontId="46" fillId="24" borderId="20" xfId="374" applyFont="1" applyFill="1" applyBorder="1" applyAlignment="1" applyProtection="1">
      <alignment horizontal="left"/>
      <protection locked="0" hidden="1"/>
    </xf>
    <xf numFmtId="0" fontId="46" fillId="24" borderId="18" xfId="374" applyFont="1" applyFill="1" applyBorder="1" applyAlignment="1" applyProtection="1">
      <alignment horizontal="left"/>
      <protection locked="0" hidden="1"/>
    </xf>
    <xf numFmtId="0" fontId="51" fillId="0" borderId="0" xfId="303" applyFont="1" applyAlignment="1" applyProtection="1">
      <alignment horizontal="center" vertical="center"/>
      <protection locked="0" hidden="1"/>
    </xf>
    <xf numFmtId="0" fontId="52" fillId="0" borderId="42" xfId="303" applyFont="1" applyBorder="1" applyAlignment="1" applyProtection="1">
      <alignment horizontal="center" vertical="center" wrapText="1"/>
      <protection locked="0" hidden="1"/>
    </xf>
    <xf numFmtId="0" fontId="53" fillId="0" borderId="42" xfId="303" applyFont="1" applyBorder="1" applyAlignment="1" applyProtection="1">
      <alignment vertical="center" wrapText="1"/>
      <protection locked="0" hidden="1"/>
    </xf>
    <xf numFmtId="44" fontId="54" fillId="4" borderId="0" xfId="303" applyNumberFormat="1" applyFont="1" applyFill="1" applyAlignment="1" applyProtection="1">
      <alignment horizontal="center"/>
      <protection locked="0" hidden="1"/>
    </xf>
    <xf numFmtId="44" fontId="54" fillId="4" borderId="23" xfId="303" applyNumberFormat="1" applyFont="1" applyFill="1" applyBorder="1" applyAlignment="1" applyProtection="1">
      <alignment horizontal="center"/>
      <protection locked="0" hidden="1"/>
    </xf>
    <xf numFmtId="44" fontId="54" fillId="4" borderId="41" xfId="303" applyNumberFormat="1" applyFont="1" applyFill="1" applyBorder="1" applyAlignment="1" applyProtection="1">
      <alignment horizontal="center"/>
      <protection locked="0" hidden="1"/>
    </xf>
    <xf numFmtId="44" fontId="54" fillId="4" borderId="31" xfId="303" applyNumberFormat="1" applyFont="1" applyFill="1" applyBorder="1" applyAlignment="1" applyProtection="1">
      <alignment horizontal="center"/>
      <protection locked="0" hidden="1"/>
    </xf>
    <xf numFmtId="0" fontId="37" fillId="0" borderId="21" xfId="303" applyFont="1" applyBorder="1" applyAlignment="1" applyProtection="1">
      <alignment horizontal="center" wrapText="1"/>
      <protection locked="0" hidden="1"/>
    </xf>
    <xf numFmtId="0" fontId="37" fillId="0" borderId="0" xfId="303" applyFont="1" applyAlignment="1" applyProtection="1">
      <alignment horizontal="center" wrapText="1"/>
      <protection locked="0" hidden="1"/>
    </xf>
    <xf numFmtId="0" fontId="37" fillId="0" borderId="22" xfId="303" applyFont="1" applyBorder="1" applyAlignment="1" applyProtection="1">
      <alignment horizontal="center" wrapText="1"/>
      <protection locked="0" hidden="1"/>
    </xf>
    <xf numFmtId="164" fontId="37" fillId="0" borderId="20" xfId="223" applyNumberFormat="1" applyFont="1" applyBorder="1" applyAlignment="1" applyProtection="1">
      <alignment horizontal="center"/>
      <protection locked="0" hidden="1"/>
    </xf>
    <xf numFmtId="0" fontId="56" fillId="0" borderId="18" xfId="303" applyFont="1" applyBorder="1" applyAlignment="1" applyProtection="1">
      <alignment horizontal="center"/>
      <protection locked="0" hidden="1"/>
    </xf>
    <xf numFmtId="0" fontId="56" fillId="0" borderId="18" xfId="303" applyFont="1" applyBorder="1" applyProtection="1">
      <protection locked="0" hidden="1"/>
    </xf>
    <xf numFmtId="0" fontId="56" fillId="0" borderId="19" xfId="303" applyFont="1" applyBorder="1" applyProtection="1">
      <protection locked="0" hidden="1"/>
    </xf>
    <xf numFmtId="0" fontId="46" fillId="24" borderId="20" xfId="374" applyFont="1" applyFill="1" applyBorder="1" applyAlignment="1" applyProtection="1">
      <alignment horizontal="center"/>
      <protection locked="0" hidden="1"/>
    </xf>
    <xf numFmtId="0" fontId="46" fillId="24" borderId="18" xfId="374" applyFont="1" applyFill="1" applyBorder="1" applyAlignment="1" applyProtection="1">
      <alignment horizontal="center"/>
      <protection locked="0" hidden="1"/>
    </xf>
    <xf numFmtId="0" fontId="62" fillId="0" borderId="0" xfId="303" applyFont="1" applyAlignment="1" applyProtection="1">
      <alignment horizontal="right"/>
      <protection locked="0" hidden="1"/>
    </xf>
    <xf numFmtId="166" fontId="56" fillId="0" borderId="0" xfId="303" applyNumberFormat="1" applyFont="1" applyAlignment="1" applyProtection="1">
      <alignment horizontal="left"/>
      <protection locked="0" hidden="1"/>
    </xf>
    <xf numFmtId="166" fontId="56" fillId="0" borderId="22" xfId="303" applyNumberFormat="1" applyFont="1" applyBorder="1" applyAlignment="1" applyProtection="1">
      <alignment horizontal="left"/>
      <protection locked="0" hidden="1"/>
    </xf>
    <xf numFmtId="0" fontId="56" fillId="0" borderId="0" xfId="303" applyFont="1" applyAlignment="1" applyProtection="1">
      <alignment horizontal="left"/>
      <protection locked="0" hidden="1"/>
    </xf>
    <xf numFmtId="0" fontId="56" fillId="0" borderId="22" xfId="303" applyFont="1" applyBorder="1" applyAlignment="1" applyProtection="1">
      <alignment horizontal="left"/>
      <protection locked="0" hidden="1"/>
    </xf>
    <xf numFmtId="164" fontId="25" fillId="0" borderId="24" xfId="223" applyNumberFormat="1" applyFont="1" applyFill="1" applyBorder="1" applyAlignment="1" applyProtection="1">
      <alignment horizontal="center"/>
      <protection locked="0" hidden="1"/>
    </xf>
    <xf numFmtId="164" fontId="25" fillId="0" borderId="27" xfId="223" applyNumberFormat="1" applyFont="1" applyFill="1" applyBorder="1" applyAlignment="1" applyProtection="1">
      <alignment horizontal="center"/>
      <protection locked="0" hidden="1"/>
    </xf>
    <xf numFmtId="0" fontId="25" fillId="24" borderId="20" xfId="303" applyFont="1" applyFill="1" applyBorder="1" applyAlignment="1" applyProtection="1">
      <alignment horizontal="center" wrapText="1"/>
      <protection locked="0" hidden="1"/>
    </xf>
    <xf numFmtId="0" fontId="25" fillId="24" borderId="18" xfId="303" applyFont="1" applyFill="1" applyBorder="1" applyAlignment="1" applyProtection="1">
      <alignment horizontal="center" wrapText="1"/>
      <protection locked="0" hidden="1"/>
    </xf>
    <xf numFmtId="0" fontId="25" fillId="24" borderId="41" xfId="303" applyFont="1" applyFill="1" applyBorder="1" applyAlignment="1" applyProtection="1">
      <alignment horizontal="center" wrapText="1"/>
      <protection locked="0" hidden="1"/>
    </xf>
    <xf numFmtId="0" fontId="25" fillId="24" borderId="19" xfId="303" applyFont="1" applyFill="1" applyBorder="1" applyAlignment="1" applyProtection="1">
      <alignment horizontal="center" wrapText="1"/>
      <protection locked="0" hidden="1"/>
    </xf>
    <xf numFmtId="0" fontId="5" fillId="60" borderId="33" xfId="303" applyFill="1" applyBorder="1" applyAlignment="1" applyProtection="1">
      <alignment horizontal="center"/>
      <protection locked="0" hidden="1"/>
    </xf>
    <xf numFmtId="166" fontId="55" fillId="0" borderId="0" xfId="303" applyNumberFormat="1" applyFont="1" applyAlignment="1" applyProtection="1">
      <alignment horizontal="left" wrapText="1"/>
      <protection locked="0" hidden="1"/>
    </xf>
    <xf numFmtId="0" fontId="5" fillId="0" borderId="43" xfId="303" applyBorder="1" applyAlignment="1" applyProtection="1">
      <alignment horizontal="center"/>
      <protection locked="0" hidden="1"/>
    </xf>
    <xf numFmtId="0" fontId="29" fillId="0" borderId="42" xfId="303" applyFont="1" applyBorder="1" applyAlignment="1" applyProtection="1">
      <alignment horizontal="center" vertical="center" wrapText="1"/>
      <protection locked="0" hidden="1"/>
    </xf>
    <xf numFmtId="44" fontId="37" fillId="0" borderId="21" xfId="303" applyNumberFormat="1" applyFont="1" applyBorder="1" applyAlignment="1" applyProtection="1">
      <alignment horizontal="center"/>
      <protection locked="0" hidden="1"/>
    </xf>
    <xf numFmtId="44" fontId="37" fillId="0" borderId="0" xfId="303" applyNumberFormat="1" applyFont="1" applyAlignment="1" applyProtection="1">
      <alignment horizontal="center"/>
      <protection locked="0" hidden="1"/>
    </xf>
    <xf numFmtId="0" fontId="5" fillId="60" borderId="15" xfId="303" applyFill="1" applyBorder="1" applyAlignment="1" applyProtection="1">
      <alignment horizontal="center"/>
      <protection locked="0" hidden="1"/>
    </xf>
    <xf numFmtId="0" fontId="5" fillId="0" borderId="0" xfId="303" applyAlignment="1" applyProtection="1">
      <alignment horizontal="right"/>
      <protection hidden="1"/>
    </xf>
    <xf numFmtId="44" fontId="32" fillId="0" borderId="0" xfId="303" applyNumberFormat="1" applyFont="1" applyAlignment="1" applyProtection="1">
      <alignment horizontal="center"/>
      <protection locked="0" hidden="1"/>
    </xf>
    <xf numFmtId="44" fontId="54" fillId="4" borderId="21" xfId="303" applyNumberFormat="1" applyFont="1" applyFill="1" applyBorder="1" applyAlignment="1" applyProtection="1">
      <alignment horizontal="center"/>
      <protection locked="0" hidden="1"/>
    </xf>
    <xf numFmtId="44" fontId="37" fillId="0" borderId="23" xfId="303" applyNumberFormat="1" applyFont="1" applyBorder="1" applyAlignment="1" applyProtection="1">
      <alignment horizontal="center"/>
      <protection locked="0" hidden="1"/>
    </xf>
    <xf numFmtId="44" fontId="37" fillId="0" borderId="41" xfId="303" applyNumberFormat="1" applyFont="1" applyBorder="1" applyAlignment="1" applyProtection="1">
      <alignment horizontal="center"/>
      <protection locked="0" hidden="1"/>
    </xf>
    <xf numFmtId="44" fontId="37" fillId="0" borderId="31" xfId="303" applyNumberFormat="1" applyFont="1" applyBorder="1" applyAlignment="1" applyProtection="1">
      <alignment horizontal="center"/>
      <protection locked="0" hidden="1"/>
    </xf>
    <xf numFmtId="166" fontId="55" fillId="0" borderId="22" xfId="303" applyNumberFormat="1" applyFont="1" applyBorder="1" applyAlignment="1" applyProtection="1">
      <alignment horizontal="left" wrapText="1"/>
      <protection locked="0" hidden="1"/>
    </xf>
    <xf numFmtId="0" fontId="25" fillId="0" borderId="24" xfId="303" applyFont="1" applyBorder="1" applyAlignment="1" applyProtection="1">
      <alignment horizontal="center"/>
      <protection locked="0" hidden="1"/>
    </xf>
    <xf numFmtId="0" fontId="25" fillId="0" borderId="27" xfId="303" applyFont="1" applyBorder="1" applyAlignment="1" applyProtection="1">
      <alignment horizontal="center"/>
      <protection locked="0" hidden="1"/>
    </xf>
    <xf numFmtId="0" fontId="34" fillId="0" borderId="17" xfId="374" applyFont="1" applyBorder="1" applyAlignment="1" applyProtection="1">
      <alignment horizontal="center" vertical="center" wrapText="1"/>
      <protection locked="0" hidden="1"/>
    </xf>
    <xf numFmtId="49" fontId="34" fillId="0" borderId="17" xfId="374" applyNumberFormat="1" applyFont="1" applyBorder="1" applyAlignment="1" applyProtection="1">
      <alignment horizontal="center" vertical="center"/>
      <protection locked="0" hidden="1"/>
    </xf>
    <xf numFmtId="0" fontId="5" fillId="0" borderId="17" xfId="303" applyBorder="1" applyAlignment="1" applyProtection="1">
      <alignment horizontal="center" vertical="center"/>
      <protection hidden="1"/>
    </xf>
    <xf numFmtId="0" fontId="25" fillId="24" borderId="24" xfId="303" applyFont="1" applyFill="1" applyBorder="1" applyAlignment="1" applyProtection="1">
      <alignment horizontal="center" wrapText="1"/>
      <protection locked="0" hidden="1"/>
    </xf>
    <xf numFmtId="0" fontId="25" fillId="24" borderId="27" xfId="303" applyFont="1" applyFill="1" applyBorder="1" applyAlignment="1" applyProtection="1">
      <alignment horizontal="center" wrapText="1"/>
      <protection locked="0" hidden="1"/>
    </xf>
    <xf numFmtId="0" fontId="25" fillId="24" borderId="24" xfId="303" applyFont="1" applyFill="1" applyBorder="1" applyAlignment="1" applyProtection="1">
      <alignment horizontal="left" wrapText="1"/>
      <protection locked="0" hidden="1"/>
    </xf>
    <xf numFmtId="0" fontId="25" fillId="24" borderId="27" xfId="303" applyFont="1" applyFill="1" applyBorder="1" applyAlignment="1" applyProtection="1">
      <alignment horizontal="left" wrapText="1"/>
      <protection locked="0" hidden="1"/>
    </xf>
    <xf numFmtId="0" fontId="25" fillId="24" borderId="18" xfId="303" applyFont="1" applyFill="1" applyBorder="1" applyAlignment="1" applyProtection="1">
      <alignment horizontal="left" wrapText="1"/>
      <protection locked="0" hidden="1"/>
    </xf>
    <xf numFmtId="0" fontId="25" fillId="24" borderId="19" xfId="303" applyFont="1" applyFill="1" applyBorder="1" applyAlignment="1" applyProtection="1">
      <alignment horizontal="left" wrapText="1"/>
      <protection locked="0" hidden="1"/>
    </xf>
    <xf numFmtId="0" fontId="25" fillId="24" borderId="15" xfId="303" applyFont="1" applyFill="1" applyBorder="1" applyAlignment="1" applyProtection="1">
      <alignment horizontal="center" wrapText="1"/>
      <protection locked="0" hidden="1"/>
    </xf>
    <xf numFmtId="0" fontId="25" fillId="24" borderId="16" xfId="303" applyFont="1" applyFill="1" applyBorder="1" applyAlignment="1" applyProtection="1">
      <alignment horizontal="center" wrapText="1"/>
      <protection locked="0" hidden="1"/>
    </xf>
    <xf numFmtId="0" fontId="46" fillId="24" borderId="23" xfId="374" applyFont="1" applyFill="1" applyBorder="1" applyProtection="1">
      <protection locked="0" hidden="1"/>
    </xf>
    <xf numFmtId="0" fontId="46" fillId="0" borderId="18" xfId="303" applyFont="1" applyBorder="1" applyProtection="1">
      <protection locked="0" hidden="1"/>
    </xf>
    <xf numFmtId="0" fontId="46" fillId="0" borderId="19" xfId="303" applyFont="1" applyBorder="1" applyProtection="1">
      <protection locked="0" hidden="1"/>
    </xf>
    <xf numFmtId="44" fontId="54" fillId="4" borderId="24" xfId="303" applyNumberFormat="1" applyFont="1" applyFill="1" applyBorder="1" applyAlignment="1" applyProtection="1">
      <alignment horizontal="center"/>
      <protection locked="0" hidden="1"/>
    </xf>
    <xf numFmtId="44" fontId="54" fillId="4" borderId="27" xfId="303" applyNumberFormat="1" applyFont="1" applyFill="1" applyBorder="1" applyAlignment="1" applyProtection="1">
      <alignment horizontal="center"/>
      <protection locked="0" hidden="1"/>
    </xf>
    <xf numFmtId="44" fontId="37" fillId="0" borderId="23" xfId="303" applyNumberFormat="1" applyFont="1" applyBorder="1" applyAlignment="1" applyProtection="1">
      <alignment horizontal="right"/>
      <protection locked="0" hidden="1"/>
    </xf>
    <xf numFmtId="44" fontId="37" fillId="0" borderId="41" xfId="303" applyNumberFormat="1" applyFont="1" applyBorder="1" applyAlignment="1" applyProtection="1">
      <alignment horizontal="right"/>
      <protection locked="0" hidden="1"/>
    </xf>
    <xf numFmtId="0" fontId="26" fillId="59" borderId="33" xfId="303" applyFont="1" applyFill="1" applyBorder="1" applyAlignment="1" applyProtection="1">
      <alignment horizontal="center" vertical="center" wrapText="1"/>
      <protection locked="0" hidden="1"/>
    </xf>
    <xf numFmtId="0" fontId="26" fillId="59" borderId="16" xfId="303" applyFont="1" applyFill="1" applyBorder="1" applyAlignment="1" applyProtection="1">
      <alignment horizontal="center" vertical="center" wrapText="1"/>
      <protection locked="0" hidden="1"/>
    </xf>
    <xf numFmtId="44" fontId="91" fillId="0" borderId="20" xfId="374" applyNumberFormat="1" applyFont="1" applyBorder="1" applyAlignment="1" applyProtection="1">
      <alignment horizontal="center"/>
      <protection locked="0" hidden="1"/>
    </xf>
    <xf numFmtId="44" fontId="91" fillId="0" borderId="18" xfId="374" applyNumberFormat="1" applyFont="1" applyBorder="1" applyAlignment="1" applyProtection="1">
      <alignment horizontal="center"/>
      <protection locked="0" hidden="1"/>
    </xf>
    <xf numFmtId="44" fontId="91" fillId="0" borderId="19" xfId="374" applyNumberFormat="1" applyFont="1" applyBorder="1" applyAlignment="1" applyProtection="1">
      <alignment horizontal="center"/>
      <protection locked="0" hidden="1"/>
    </xf>
    <xf numFmtId="0" fontId="4" fillId="0" borderId="17" xfId="374" applyBorder="1" applyAlignment="1" applyProtection="1">
      <alignment horizontal="center"/>
      <protection locked="0" hidden="1"/>
    </xf>
    <xf numFmtId="0" fontId="4" fillId="0" borderId="17" xfId="374" applyBorder="1" applyAlignment="1" applyProtection="1">
      <alignment horizontal="center" vertical="center"/>
      <protection locked="0" hidden="1"/>
    </xf>
    <xf numFmtId="0" fontId="25" fillId="0" borderId="0" xfId="303" applyFont="1" applyAlignment="1" applyProtection="1">
      <alignment horizontal="right" vertical="top" wrapText="1"/>
      <protection locked="0" hidden="1"/>
    </xf>
    <xf numFmtId="44" fontId="34" fillId="0" borderId="44" xfId="223" applyFont="1" applyFill="1" applyBorder="1" applyAlignment="1" applyProtection="1">
      <alignment horizontal="center" vertical="center"/>
      <protection hidden="1"/>
    </xf>
    <xf numFmtId="0" fontId="5" fillId="0" borderId="44" xfId="303" applyBorder="1" applyAlignment="1" applyProtection="1">
      <alignment horizontal="center" vertical="center"/>
      <protection hidden="1"/>
    </xf>
    <xf numFmtId="44" fontId="32" fillId="4" borderId="27" xfId="374" applyNumberFormat="1" applyFont="1" applyFill="1" applyBorder="1" applyAlignment="1" applyProtection="1">
      <alignment horizontal="center"/>
      <protection locked="0" hidden="1"/>
    </xf>
    <xf numFmtId="0" fontId="4" fillId="0" borderId="16" xfId="348" applyBorder="1" applyAlignment="1" applyProtection="1">
      <alignment horizontal="center"/>
      <protection hidden="1"/>
    </xf>
    <xf numFmtId="0" fontId="34" fillId="24" borderId="20" xfId="348" applyFont="1" applyFill="1" applyBorder="1" applyAlignment="1" applyProtection="1">
      <alignment horizontal="left" wrapText="1"/>
      <protection locked="0" hidden="1"/>
    </xf>
    <xf numFmtId="0" fontId="34" fillId="24" borderId="18" xfId="348" applyFont="1" applyFill="1" applyBorder="1" applyAlignment="1" applyProtection="1">
      <alignment horizontal="left" wrapText="1"/>
      <protection locked="0" hidden="1"/>
    </xf>
    <xf numFmtId="0" fontId="34" fillId="24" borderId="19" xfId="348" applyFont="1" applyFill="1" applyBorder="1" applyAlignment="1" applyProtection="1">
      <alignment horizontal="left" wrapText="1"/>
      <protection locked="0" hidden="1"/>
    </xf>
    <xf numFmtId="0" fontId="36" fillId="0" borderId="0" xfId="348" applyFont="1" applyAlignment="1" applyProtection="1">
      <alignment horizontal="right"/>
      <protection locked="0" hidden="1"/>
    </xf>
    <xf numFmtId="0" fontId="4" fillId="0" borderId="0" xfId="348" applyAlignment="1" applyProtection="1">
      <alignment horizontal="right"/>
      <protection locked="0" hidden="1"/>
    </xf>
    <xf numFmtId="0" fontId="4" fillId="0" borderId="41" xfId="348" applyBorder="1" applyAlignment="1" applyProtection="1">
      <alignment horizontal="right"/>
      <protection locked="0" hidden="1"/>
    </xf>
    <xf numFmtId="0" fontId="34" fillId="0" borderId="17" xfId="348" applyFont="1" applyBorder="1" applyAlignment="1" applyProtection="1">
      <alignment horizontal="center" vertical="center"/>
      <protection locked="0" hidden="1"/>
    </xf>
    <xf numFmtId="0" fontId="4" fillId="0" borderId="15" xfId="348" applyBorder="1" applyProtection="1">
      <protection locked="0" hidden="1"/>
    </xf>
    <xf numFmtId="49" fontId="34" fillId="0" borderId="15" xfId="348" applyNumberFormat="1" applyFont="1" applyBorder="1" applyAlignment="1" applyProtection="1">
      <alignment horizontal="center" vertical="center" wrapText="1"/>
      <protection locked="0" hidden="1"/>
    </xf>
    <xf numFmtId="0" fontId="4" fillId="0" borderId="33" xfId="348" applyBorder="1" applyAlignment="1" applyProtection="1">
      <alignment horizontal="center" vertical="center"/>
      <protection locked="0" hidden="1"/>
    </xf>
    <xf numFmtId="0" fontId="4" fillId="0" borderId="33" xfId="348" applyBorder="1" applyAlignment="1" applyProtection="1">
      <alignment horizontal="center" vertical="center"/>
      <protection hidden="1"/>
    </xf>
    <xf numFmtId="0" fontId="4" fillId="0" borderId="16" xfId="348" applyBorder="1" applyAlignment="1" applyProtection="1">
      <alignment horizontal="center" vertical="center"/>
      <protection hidden="1"/>
    </xf>
    <xf numFmtId="0" fontId="25" fillId="0" borderId="20" xfId="348" applyFont="1" applyBorder="1" applyAlignment="1" applyProtection="1">
      <alignment horizontal="center"/>
      <protection locked="0" hidden="1"/>
    </xf>
    <xf numFmtId="0" fontId="25" fillId="0" borderId="18" xfId="348" applyFont="1" applyBorder="1" applyAlignment="1" applyProtection="1">
      <alignment horizontal="center"/>
      <protection locked="0" hidden="1"/>
    </xf>
    <xf numFmtId="0" fontId="25" fillId="0" borderId="19" xfId="348" applyFont="1" applyBorder="1" applyAlignment="1" applyProtection="1">
      <alignment horizontal="center"/>
      <protection locked="0" hidden="1"/>
    </xf>
    <xf numFmtId="0" fontId="47" fillId="0" borderId="0" xfId="348" applyFont="1" applyAlignment="1" applyProtection="1">
      <alignment horizontal="center" vertical="center"/>
      <protection locked="0" hidden="1"/>
    </xf>
    <xf numFmtId="0" fontId="25" fillId="0" borderId="0" xfId="348" applyFont="1" applyAlignment="1" applyProtection="1">
      <alignment horizontal="center" vertical="center" wrapText="1"/>
      <protection locked="0" hidden="1"/>
    </xf>
    <xf numFmtId="44" fontId="32" fillId="4" borderId="0" xfId="348" applyNumberFormat="1" applyFont="1" applyFill="1" applyAlignment="1" applyProtection="1">
      <alignment horizontal="center"/>
      <protection locked="0" hidden="1"/>
    </xf>
    <xf numFmtId="44" fontId="30" fillId="0" borderId="21" xfId="374" applyNumberFormat="1" applyFont="1" applyBorder="1" applyAlignment="1" applyProtection="1">
      <alignment horizontal="center"/>
      <protection locked="0" hidden="1"/>
    </xf>
    <xf numFmtId="44" fontId="30" fillId="0" borderId="0" xfId="374" applyNumberFormat="1" applyFont="1" applyAlignment="1" applyProtection="1">
      <alignment horizontal="center"/>
      <protection locked="0" hidden="1"/>
    </xf>
    <xf numFmtId="0" fontId="25" fillId="59" borderId="33" xfId="344" applyFont="1" applyFill="1" applyBorder="1" applyAlignment="1" applyProtection="1">
      <alignment horizontal="left" wrapText="1"/>
      <protection locked="0" hidden="1"/>
    </xf>
    <xf numFmtId="0" fontId="5" fillId="59" borderId="33" xfId="344" applyFill="1" applyBorder="1" applyAlignment="1" applyProtection="1">
      <alignment wrapText="1"/>
      <protection locked="0" hidden="1"/>
    </xf>
    <xf numFmtId="0" fontId="4" fillId="0" borderId="0" xfId="374" applyProtection="1">
      <protection locked="0" hidden="1"/>
    </xf>
    <xf numFmtId="44" fontId="30" fillId="0" borderId="20" xfId="374" applyNumberFormat="1" applyFont="1" applyBorder="1" applyAlignment="1" applyProtection="1">
      <alignment horizontal="center"/>
      <protection locked="0" hidden="1"/>
    </xf>
    <xf numFmtId="44" fontId="30" fillId="0" borderId="18" xfId="374" applyNumberFormat="1" applyFont="1" applyBorder="1" applyAlignment="1" applyProtection="1">
      <alignment horizontal="center"/>
      <protection locked="0" hidden="1"/>
    </xf>
    <xf numFmtId="44" fontId="30" fillId="0" borderId="19" xfId="374" applyNumberFormat="1" applyFont="1" applyBorder="1" applyAlignment="1" applyProtection="1">
      <alignment horizontal="center"/>
      <protection locked="0" hidden="1"/>
    </xf>
    <xf numFmtId="0" fontId="4" fillId="0" borderId="33" xfId="348" applyBorder="1" applyAlignment="1" applyProtection="1">
      <alignment horizontal="center"/>
      <protection hidden="1"/>
    </xf>
    <xf numFmtId="0" fontId="25" fillId="24" borderId="16" xfId="344" applyFont="1" applyFill="1" applyBorder="1" applyAlignment="1" applyProtection="1">
      <alignment horizontal="left" wrapText="1"/>
      <protection locked="0" hidden="1"/>
    </xf>
    <xf numFmtId="0" fontId="5" fillId="0" borderId="17" xfId="344" applyBorder="1" applyAlignment="1" applyProtection="1">
      <alignment wrapText="1"/>
      <protection locked="0" hidden="1"/>
    </xf>
    <xf numFmtId="0" fontId="25" fillId="0" borderId="0" xfId="303" applyFont="1" applyAlignment="1" applyProtection="1">
      <alignment horizontal="right"/>
      <protection locked="0" hidden="1"/>
    </xf>
    <xf numFmtId="44" fontId="32" fillId="4" borderId="23" xfId="303" applyNumberFormat="1" applyFont="1" applyFill="1" applyBorder="1" applyAlignment="1" applyProtection="1">
      <alignment horizontal="center"/>
      <protection locked="0" hidden="1"/>
    </xf>
    <xf numFmtId="166" fontId="26" fillId="0" borderId="27" xfId="303" applyNumberFormat="1" applyFont="1" applyBorder="1" applyAlignment="1" applyProtection="1">
      <alignment horizontal="left" wrapText="1"/>
      <protection locked="0" hidden="1"/>
    </xf>
    <xf numFmtId="166" fontId="26" fillId="0" borderId="28" xfId="303" applyNumberFormat="1" applyFont="1" applyBorder="1" applyAlignment="1" applyProtection="1">
      <alignment horizontal="left" wrapText="1"/>
      <protection locked="0" hidden="1"/>
    </xf>
    <xf numFmtId="0" fontId="25" fillId="58" borderId="21" xfId="303" applyFont="1" applyFill="1" applyBorder="1" applyAlignment="1" applyProtection="1">
      <alignment horizontal="right" wrapText="1"/>
      <protection locked="0" hidden="1"/>
    </xf>
    <xf numFmtId="0" fontId="5" fillId="58" borderId="0" xfId="303" applyFill="1" applyProtection="1">
      <protection locked="0" hidden="1"/>
    </xf>
    <xf numFmtId="0" fontId="5" fillId="58" borderId="22" xfId="303" applyFill="1" applyBorder="1" applyProtection="1">
      <protection locked="0" hidden="1"/>
    </xf>
    <xf numFmtId="0" fontId="25" fillId="58" borderId="24" xfId="303" applyFont="1" applyFill="1" applyBorder="1" applyAlignment="1" applyProtection="1">
      <alignment horizontal="right" wrapText="1"/>
      <protection locked="0" hidden="1"/>
    </xf>
    <xf numFmtId="0" fontId="25" fillId="58" borderId="27" xfId="303" applyFont="1" applyFill="1" applyBorder="1" applyAlignment="1" applyProtection="1">
      <alignment horizontal="right" wrapText="1"/>
      <protection locked="0" hidden="1"/>
    </xf>
    <xf numFmtId="0" fontId="5" fillId="58" borderId="27" xfId="303" applyFill="1" applyBorder="1" applyProtection="1">
      <protection locked="0" hidden="1"/>
    </xf>
    <xf numFmtId="0" fontId="5" fillId="58" borderId="28" xfId="303" applyFill="1" applyBorder="1" applyProtection="1">
      <protection locked="0" hidden="1"/>
    </xf>
    <xf numFmtId="44" fontId="32" fillId="4" borderId="20" xfId="303" applyNumberFormat="1" applyFont="1" applyFill="1" applyBorder="1" applyAlignment="1" applyProtection="1">
      <alignment horizontal="center"/>
      <protection locked="0" hidden="1"/>
    </xf>
    <xf numFmtId="0" fontId="26" fillId="0" borderId="0" xfId="303" applyFont="1" applyAlignment="1" applyProtection="1">
      <alignment wrapText="1"/>
      <protection locked="0" hidden="1"/>
    </xf>
    <xf numFmtId="0" fontId="26" fillId="0" borderId="22" xfId="303" applyFont="1" applyBorder="1" applyAlignment="1" applyProtection="1">
      <alignment wrapText="1"/>
      <protection locked="0" hidden="1"/>
    </xf>
    <xf numFmtId="0" fontId="25" fillId="58" borderId="0" xfId="303" applyFont="1" applyFill="1" applyAlignment="1" applyProtection="1">
      <alignment horizontal="right" wrapText="1"/>
      <protection locked="0" hidden="1"/>
    </xf>
    <xf numFmtId="0" fontId="26" fillId="58" borderId="0" xfId="303" applyFont="1" applyFill="1" applyAlignment="1" applyProtection="1">
      <alignment wrapText="1"/>
      <protection locked="0" hidden="1"/>
    </xf>
    <xf numFmtId="0" fontId="26" fillId="58" borderId="22" xfId="303" applyFont="1" applyFill="1" applyBorder="1" applyAlignment="1" applyProtection="1">
      <alignment wrapText="1"/>
      <protection locked="0" hidden="1"/>
    </xf>
    <xf numFmtId="0" fontId="26" fillId="58" borderId="27" xfId="303" applyFont="1" applyFill="1" applyBorder="1" applyAlignment="1" applyProtection="1">
      <alignment wrapText="1"/>
      <protection locked="0" hidden="1"/>
    </xf>
    <xf numFmtId="0" fontId="26" fillId="58" borderId="28" xfId="303" applyFont="1" applyFill="1" applyBorder="1" applyAlignment="1" applyProtection="1">
      <alignment wrapText="1"/>
      <protection locked="0" hidden="1"/>
    </xf>
    <xf numFmtId="0" fontId="26" fillId="58" borderId="0" xfId="303" applyFont="1" applyFill="1" applyProtection="1">
      <protection locked="0" hidden="1"/>
    </xf>
    <xf numFmtId="0" fontId="26" fillId="58" borderId="22" xfId="303" applyFont="1" applyFill="1" applyBorder="1" applyProtection="1">
      <protection locked="0" hidden="1"/>
    </xf>
    <xf numFmtId="0" fontId="26" fillId="58" borderId="27" xfId="303" applyFont="1" applyFill="1" applyBorder="1" applyProtection="1">
      <protection locked="0" hidden="1"/>
    </xf>
    <xf numFmtId="0" fontId="26" fillId="58" borderId="28" xfId="303" applyFont="1" applyFill="1" applyBorder="1" applyProtection="1">
      <protection locked="0" hidden="1"/>
    </xf>
    <xf numFmtId="0" fontId="26" fillId="58" borderId="0" xfId="303" applyFont="1" applyFill="1" applyAlignment="1" applyProtection="1">
      <alignment horizontal="left" wrapText="1"/>
      <protection locked="0" hidden="1"/>
    </xf>
    <xf numFmtId="0" fontId="5" fillId="58" borderId="22" xfId="303" applyFill="1" applyBorder="1" applyAlignment="1" applyProtection="1">
      <alignment horizontal="left"/>
      <protection locked="0" hidden="1"/>
    </xf>
    <xf numFmtId="0" fontId="66" fillId="0" borderId="0" xfId="303" applyFont="1" applyAlignment="1">
      <alignment horizontal="center" vertical="center" wrapText="1"/>
    </xf>
    <xf numFmtId="0" fontId="93" fillId="25" borderId="30" xfId="303" applyFont="1" applyFill="1" applyBorder="1" applyAlignment="1">
      <alignment vertical="top"/>
    </xf>
    <xf numFmtId="0" fontId="5" fillId="0" borderId="0" xfId="303"/>
    <xf numFmtId="0" fontId="92" fillId="0" borderId="0" xfId="303" applyFont="1" applyAlignment="1">
      <alignment horizontal="center" vertical="top" wrapText="1"/>
    </xf>
    <xf numFmtId="0" fontId="36" fillId="0" borderId="0" xfId="303" applyFont="1" applyAlignment="1">
      <alignment horizontal="center" vertical="top" wrapText="1"/>
    </xf>
    <xf numFmtId="0" fontId="93" fillId="25" borderId="45" xfId="303" applyFont="1" applyFill="1" applyBorder="1" applyAlignment="1">
      <alignment vertical="top"/>
    </xf>
    <xf numFmtId="0" fontId="93" fillId="25" borderId="46" xfId="303" applyFont="1" applyFill="1" applyBorder="1" applyAlignment="1">
      <alignment vertical="top"/>
    </xf>
    <xf numFmtId="5" fontId="5" fillId="0" borderId="0" xfId="303" applyNumberFormat="1" applyAlignment="1">
      <alignment vertical="top" wrapText="1"/>
    </xf>
    <xf numFmtId="0" fontId="93" fillId="25" borderId="47" xfId="303" applyFont="1" applyFill="1" applyBorder="1" applyAlignment="1">
      <alignment vertical="top"/>
    </xf>
    <xf numFmtId="0" fontId="93" fillId="25" borderId="48" xfId="303" applyFont="1" applyFill="1" applyBorder="1" applyAlignment="1">
      <alignment vertical="top"/>
    </xf>
    <xf numFmtId="0" fontId="114" fillId="0" borderId="0" xfId="274" applyAlignment="1" applyProtection="1">
      <alignment horizontal="center" vertical="top" wrapText="1"/>
    </xf>
    <xf numFmtId="0" fontId="98" fillId="0" borderId="0" xfId="303" applyFont="1" applyAlignment="1">
      <alignment horizontal="center" vertical="top" wrapText="1"/>
    </xf>
    <xf numFmtId="0" fontId="99" fillId="0" borderId="0" xfId="303" applyFont="1"/>
    <xf numFmtId="0" fontId="93" fillId="25" borderId="49" xfId="303" applyFont="1" applyFill="1" applyBorder="1" applyAlignment="1">
      <alignment vertical="top"/>
    </xf>
    <xf numFmtId="0" fontId="97" fillId="0" borderId="0" xfId="303" applyFont="1"/>
    <xf numFmtId="0" fontId="68" fillId="0" borderId="0" xfId="303" applyFont="1" applyAlignment="1">
      <alignment horizontal="center" vertical="top" wrapText="1"/>
    </xf>
    <xf numFmtId="0" fontId="96" fillId="0" borderId="0" xfId="303" applyFont="1"/>
    <xf numFmtId="0" fontId="100" fillId="0" borderId="0" xfId="303" applyFont="1" applyAlignment="1">
      <alignment horizontal="center" vertical="top" wrapText="1"/>
    </xf>
    <xf numFmtId="0" fontId="101" fillId="0" borderId="0" xfId="303" applyFont="1"/>
    <xf numFmtId="0" fontId="94" fillId="0" borderId="0" xfId="303" applyFont="1" applyAlignment="1">
      <alignment horizontal="center" vertical="top" wrapText="1"/>
    </xf>
    <xf numFmtId="0" fontId="95" fillId="0" borderId="0" xfId="303" applyFont="1"/>
    <xf numFmtId="0" fontId="56" fillId="0" borderId="41" xfId="303" applyFont="1" applyBorder="1" applyProtection="1">
      <protection locked="0" hidden="1"/>
    </xf>
    <xf numFmtId="0" fontId="56" fillId="0" borderId="0" xfId="303" applyFont="1" applyProtection="1">
      <protection locked="0" hidden="1"/>
    </xf>
    <xf numFmtId="0" fontId="55" fillId="0" borderId="0" xfId="303" applyFont="1" applyProtection="1">
      <protection locked="0" hidden="1"/>
    </xf>
    <xf numFmtId="0" fontId="37" fillId="0" borderId="21" xfId="303" applyFont="1" applyBorder="1" applyAlignment="1" applyProtection="1">
      <alignment horizontal="right"/>
      <protection locked="0" hidden="1"/>
    </xf>
    <xf numFmtId="0" fontId="56" fillId="0" borderId="27" xfId="303" applyFont="1" applyBorder="1" applyAlignment="1" applyProtection="1">
      <alignment horizontal="center"/>
      <protection locked="0" hidden="1"/>
    </xf>
    <xf numFmtId="0" fontId="5" fillId="60" borderId="16" xfId="303" applyFill="1" applyBorder="1" applyAlignment="1" applyProtection="1">
      <alignment horizontal="center"/>
      <protection locked="0" hidden="1"/>
    </xf>
    <xf numFmtId="0" fontId="37" fillId="0" borderId="24" xfId="0" applyFont="1" applyBorder="1" applyAlignment="1" applyProtection="1">
      <alignment horizontal="center" wrapText="1"/>
      <protection locked="0" hidden="1"/>
    </xf>
    <xf numFmtId="0" fontId="37" fillId="0" borderId="27" xfId="0" applyFont="1" applyBorder="1" applyAlignment="1" applyProtection="1">
      <alignment horizontal="center" wrapText="1"/>
      <protection locked="0" hidden="1"/>
    </xf>
    <xf numFmtId="0" fontId="37" fillId="0" borderId="28" xfId="0" applyFont="1" applyBorder="1" applyAlignment="1" applyProtection="1">
      <alignment horizontal="center" wrapText="1"/>
      <protection locked="0" hidden="1"/>
    </xf>
    <xf numFmtId="0" fontId="29" fillId="0" borderId="0" xfId="0" applyFont="1" applyAlignment="1" applyProtection="1">
      <alignment horizontal="center" vertical="center" wrapText="1"/>
      <protection locked="0" hidden="1"/>
    </xf>
    <xf numFmtId="44" fontId="32" fillId="0" borderId="0" xfId="0" applyNumberFormat="1" applyFont="1" applyAlignment="1" applyProtection="1">
      <alignment horizontal="center"/>
      <protection locked="0" hidden="1"/>
    </xf>
    <xf numFmtId="44" fontId="54" fillId="4" borderId="21" xfId="0" applyNumberFormat="1" applyFont="1" applyFill="1" applyBorder="1" applyAlignment="1" applyProtection="1">
      <alignment horizontal="center"/>
      <protection locked="0" hidden="1"/>
    </xf>
    <xf numFmtId="44" fontId="54" fillId="4" borderId="0" xfId="0" applyNumberFormat="1" applyFont="1" applyFill="1" applyAlignment="1" applyProtection="1">
      <alignment horizontal="center"/>
      <protection locked="0" hidden="1"/>
    </xf>
    <xf numFmtId="44" fontId="37" fillId="0" borderId="23" xfId="0" applyNumberFormat="1" applyFont="1" applyBorder="1" applyAlignment="1" applyProtection="1">
      <alignment horizontal="center"/>
      <protection locked="0" hidden="1"/>
    </xf>
    <xf numFmtId="44" fontId="37" fillId="0" borderId="41" xfId="0" applyNumberFormat="1" applyFont="1" applyBorder="1" applyAlignment="1" applyProtection="1">
      <alignment horizontal="center"/>
      <protection locked="0" hidden="1"/>
    </xf>
    <xf numFmtId="44" fontId="37" fillId="0" borderId="31" xfId="0" applyNumberFormat="1" applyFont="1" applyBorder="1" applyAlignment="1" applyProtection="1">
      <alignment horizontal="center"/>
      <protection locked="0" hidden="1"/>
    </xf>
    <xf numFmtId="0" fontId="37" fillId="0" borderId="21" xfId="0" applyFont="1" applyBorder="1" applyAlignment="1" applyProtection="1">
      <alignment horizontal="right" wrapText="1"/>
      <protection locked="0" hidden="1"/>
    </xf>
    <xf numFmtId="0" fontId="37" fillId="0" borderId="0" xfId="0" applyFont="1" applyAlignment="1" applyProtection="1">
      <alignment horizontal="right" wrapText="1"/>
      <protection locked="0" hidden="1"/>
    </xf>
    <xf numFmtId="166" fontId="55" fillId="0" borderId="0" xfId="0" applyNumberFormat="1" applyFont="1" applyAlignment="1" applyProtection="1">
      <alignment horizontal="left" wrapText="1"/>
      <protection locked="0" hidden="1"/>
    </xf>
    <xf numFmtId="166" fontId="55" fillId="0" borderId="22" xfId="0" applyNumberFormat="1" applyFont="1" applyBorder="1" applyAlignment="1" applyProtection="1">
      <alignment horizontal="left" wrapText="1"/>
      <protection locked="0" hidden="1"/>
    </xf>
    <xf numFmtId="0" fontId="0" fillId="0" borderId="0" xfId="0" applyAlignment="1" applyProtection="1">
      <alignment horizontal="right"/>
      <protection hidden="1"/>
    </xf>
    <xf numFmtId="0" fontId="25" fillId="0" borderId="19" xfId="0" applyFont="1" applyBorder="1" applyAlignment="1" applyProtection="1">
      <alignment horizontal="center"/>
      <protection locked="0" hidden="1"/>
    </xf>
    <xf numFmtId="0" fontId="0" fillId="0" borderId="17" xfId="0" applyBorder="1" applyAlignment="1" applyProtection="1">
      <alignment horizontal="center" vertical="center"/>
      <protection hidden="1"/>
    </xf>
    <xf numFmtId="0" fontId="25" fillId="24" borderId="24" xfId="0" applyFont="1" applyFill="1" applyBorder="1" applyAlignment="1" applyProtection="1">
      <alignment horizontal="center" wrapText="1"/>
      <protection locked="0" hidden="1"/>
    </xf>
    <xf numFmtId="0" fontId="25" fillId="24" borderId="27" xfId="0" applyFont="1" applyFill="1" applyBorder="1" applyAlignment="1" applyProtection="1">
      <alignment horizontal="center" wrapText="1"/>
      <protection locked="0" hidden="1"/>
    </xf>
    <xf numFmtId="0" fontId="25" fillId="24" borderId="18" xfId="0" applyFont="1" applyFill="1" applyBorder="1" applyAlignment="1" applyProtection="1">
      <alignment horizontal="center" wrapText="1"/>
      <protection locked="0" hidden="1"/>
    </xf>
    <xf numFmtId="0" fontId="25" fillId="24" borderId="19" xfId="0" applyFont="1" applyFill="1" applyBorder="1" applyAlignment="1" applyProtection="1">
      <alignment horizontal="center" wrapText="1"/>
      <protection locked="0" hidden="1"/>
    </xf>
  </cellXfs>
  <cellStyles count="403">
    <cellStyle name=" 1" xfId="1" xr:uid="{00000000-0005-0000-0000-000000000000}"/>
    <cellStyle name="_SAP_BYD_INFO" xfId="2" xr:uid="{00000000-0005-0000-0000-000001000000}"/>
    <cellStyle name="_SAP_BYD_INFO_DATETIME" xfId="3" xr:uid="{00000000-0005-0000-0000-000002000000}"/>
    <cellStyle name="_SAP_BYD_SHEET" xfId="4" xr:uid="{00000000-0005-0000-0000-000003000000}"/>
    <cellStyle name="_SAP_BYD_TABLE_CELL_TEXT" xfId="5" xr:uid="{00000000-0005-0000-0000-000004000000}"/>
    <cellStyle name="_SAP_BYD_TABLE_HEADER_CELL" xfId="6" xr:uid="{00000000-0005-0000-0000-000005000000}"/>
    <cellStyle name="_SAP_BYD_TITLE" xfId="7" xr:uid="{00000000-0005-0000-0000-000006000000}"/>
    <cellStyle name="=C:\WINDOWS\SYSTEM32\COMMAND.COM" xfId="8" xr:uid="{00000000-0005-0000-0000-000007000000}"/>
    <cellStyle name="20% - Accent1" xfId="9" builtinId="30" customBuiltin="1"/>
    <cellStyle name="20% - Accent1 2" xfId="10" xr:uid="{00000000-0005-0000-0000-000009000000}"/>
    <cellStyle name="20% - Accent1 2 2" xfId="11" xr:uid="{00000000-0005-0000-0000-00000A000000}"/>
    <cellStyle name="20% - Accent1 3" xfId="12" xr:uid="{00000000-0005-0000-0000-00000B000000}"/>
    <cellStyle name="20% - Accent1 4" xfId="13" xr:uid="{00000000-0005-0000-0000-00000C000000}"/>
    <cellStyle name="20% - Accent1 5" xfId="14" xr:uid="{00000000-0005-0000-0000-00000D000000}"/>
    <cellStyle name="20% - Accent1 6" xfId="15" xr:uid="{00000000-0005-0000-0000-00000E000000}"/>
    <cellStyle name="20% - Accent1 7" xfId="16" xr:uid="{00000000-0005-0000-0000-00000F000000}"/>
    <cellStyle name="20% - Accent1 8" xfId="17" xr:uid="{00000000-0005-0000-0000-000010000000}"/>
    <cellStyle name="20% - Accent2" xfId="18" builtinId="34" customBuiltin="1"/>
    <cellStyle name="20% - Accent2 2" xfId="19" xr:uid="{00000000-0005-0000-0000-000012000000}"/>
    <cellStyle name="20% - Accent2 2 2" xfId="20" xr:uid="{00000000-0005-0000-0000-000013000000}"/>
    <cellStyle name="20% - Accent2 3" xfId="21" xr:uid="{00000000-0005-0000-0000-000014000000}"/>
    <cellStyle name="20% - Accent2 4" xfId="22" xr:uid="{00000000-0005-0000-0000-000015000000}"/>
    <cellStyle name="20% - Accent2 5" xfId="23" xr:uid="{00000000-0005-0000-0000-000016000000}"/>
    <cellStyle name="20% - Accent2 6" xfId="24" xr:uid="{00000000-0005-0000-0000-000017000000}"/>
    <cellStyle name="20% - Accent2 7" xfId="25" xr:uid="{00000000-0005-0000-0000-000018000000}"/>
    <cellStyle name="20% - Accent2 8" xfId="26" xr:uid="{00000000-0005-0000-0000-000019000000}"/>
    <cellStyle name="20% - Accent3" xfId="27" builtinId="38" customBuiltin="1"/>
    <cellStyle name="20% - Accent3 2" xfId="28" xr:uid="{00000000-0005-0000-0000-00001B000000}"/>
    <cellStyle name="20% - Accent3 2 2" xfId="29" xr:uid="{00000000-0005-0000-0000-00001C000000}"/>
    <cellStyle name="20% - Accent3 3" xfId="30" xr:uid="{00000000-0005-0000-0000-00001D000000}"/>
    <cellStyle name="20% - Accent3 4" xfId="31" xr:uid="{00000000-0005-0000-0000-00001E000000}"/>
    <cellStyle name="20% - Accent3 5" xfId="32" xr:uid="{00000000-0005-0000-0000-00001F000000}"/>
    <cellStyle name="20% - Accent3 6" xfId="33" xr:uid="{00000000-0005-0000-0000-000020000000}"/>
    <cellStyle name="20% - Accent4" xfId="34" builtinId="42" customBuiltin="1"/>
    <cellStyle name="20% - Accent4 2" xfId="35" xr:uid="{00000000-0005-0000-0000-000022000000}"/>
    <cellStyle name="20% - Accent4 2 2" xfId="36" xr:uid="{00000000-0005-0000-0000-000023000000}"/>
    <cellStyle name="20% - Accent4 3" xfId="37" xr:uid="{00000000-0005-0000-0000-000024000000}"/>
    <cellStyle name="20% - Accent4 4" xfId="38" xr:uid="{00000000-0005-0000-0000-000025000000}"/>
    <cellStyle name="20% - Accent4 5" xfId="39" xr:uid="{00000000-0005-0000-0000-000026000000}"/>
    <cellStyle name="20% - Accent4 6" xfId="40" xr:uid="{00000000-0005-0000-0000-000027000000}"/>
    <cellStyle name="20% - Accent4 7" xfId="41" xr:uid="{00000000-0005-0000-0000-000028000000}"/>
    <cellStyle name="20% - Accent4 8" xfId="42" xr:uid="{00000000-0005-0000-0000-000029000000}"/>
    <cellStyle name="20% - Accent5" xfId="43" builtinId="46" customBuiltin="1"/>
    <cellStyle name="20% - Accent5 2" xfId="44" xr:uid="{00000000-0005-0000-0000-00002B000000}"/>
    <cellStyle name="20% - Accent5 2 2" xfId="45" xr:uid="{00000000-0005-0000-0000-00002C000000}"/>
    <cellStyle name="20% - Accent5 3" xfId="46" xr:uid="{00000000-0005-0000-0000-00002D000000}"/>
    <cellStyle name="20% - Accent5 4" xfId="47" xr:uid="{00000000-0005-0000-0000-00002E000000}"/>
    <cellStyle name="20% - Accent5 5" xfId="48" xr:uid="{00000000-0005-0000-0000-00002F000000}"/>
    <cellStyle name="20% - Accent5 6" xfId="49" xr:uid="{00000000-0005-0000-0000-000030000000}"/>
    <cellStyle name="20% - Accent6" xfId="50" builtinId="50" customBuiltin="1"/>
    <cellStyle name="20% - Accent6 2" xfId="51" xr:uid="{00000000-0005-0000-0000-000032000000}"/>
    <cellStyle name="20% - Accent6 2 2" xfId="52" xr:uid="{00000000-0005-0000-0000-000033000000}"/>
    <cellStyle name="20% - Accent6 3" xfId="53" xr:uid="{00000000-0005-0000-0000-000034000000}"/>
    <cellStyle name="20% - Accent6 4" xfId="54" xr:uid="{00000000-0005-0000-0000-000035000000}"/>
    <cellStyle name="20% - Accent6 5" xfId="55" xr:uid="{00000000-0005-0000-0000-000036000000}"/>
    <cellStyle name="20% - Accent6 6" xfId="56" xr:uid="{00000000-0005-0000-0000-000037000000}"/>
    <cellStyle name="20% - Accent6 7" xfId="57" xr:uid="{00000000-0005-0000-0000-000038000000}"/>
    <cellStyle name="20% - Accent6 8" xfId="58" xr:uid="{00000000-0005-0000-0000-000039000000}"/>
    <cellStyle name="40% - Accent1" xfId="59" builtinId="31" customBuiltin="1"/>
    <cellStyle name="40% - Accent1 2" xfId="60" xr:uid="{00000000-0005-0000-0000-00003B000000}"/>
    <cellStyle name="40% - Accent1 2 2" xfId="61" xr:uid="{00000000-0005-0000-0000-00003C000000}"/>
    <cellStyle name="40% - Accent1 3" xfId="62" xr:uid="{00000000-0005-0000-0000-00003D000000}"/>
    <cellStyle name="40% - Accent1 4" xfId="63" xr:uid="{00000000-0005-0000-0000-00003E000000}"/>
    <cellStyle name="40% - Accent1 5" xfId="64" xr:uid="{00000000-0005-0000-0000-00003F000000}"/>
    <cellStyle name="40% - Accent1 6" xfId="65" xr:uid="{00000000-0005-0000-0000-000040000000}"/>
    <cellStyle name="40% - Accent1 7" xfId="66" xr:uid="{00000000-0005-0000-0000-000041000000}"/>
    <cellStyle name="40% - Accent1 8" xfId="67" xr:uid="{00000000-0005-0000-0000-000042000000}"/>
    <cellStyle name="40% - Accent2" xfId="68" builtinId="35" customBuiltin="1"/>
    <cellStyle name="40% - Accent2 2" xfId="69" xr:uid="{00000000-0005-0000-0000-000044000000}"/>
    <cellStyle name="40% - Accent2 2 2" xfId="70" xr:uid="{00000000-0005-0000-0000-000045000000}"/>
    <cellStyle name="40% - Accent2 3" xfId="71" xr:uid="{00000000-0005-0000-0000-000046000000}"/>
    <cellStyle name="40% - Accent2 4" xfId="72" xr:uid="{00000000-0005-0000-0000-000047000000}"/>
    <cellStyle name="40% - Accent2 5" xfId="73" xr:uid="{00000000-0005-0000-0000-000048000000}"/>
    <cellStyle name="40% - Accent2 6" xfId="74" xr:uid="{00000000-0005-0000-0000-000049000000}"/>
    <cellStyle name="40% - Accent3" xfId="75" builtinId="39" customBuiltin="1"/>
    <cellStyle name="40% - Accent3 2" xfId="76" xr:uid="{00000000-0005-0000-0000-00004B000000}"/>
    <cellStyle name="40% - Accent3 2 2" xfId="77" xr:uid="{00000000-0005-0000-0000-00004C000000}"/>
    <cellStyle name="40% - Accent3 3" xfId="78" xr:uid="{00000000-0005-0000-0000-00004D000000}"/>
    <cellStyle name="40% - Accent3 4" xfId="79" xr:uid="{00000000-0005-0000-0000-00004E000000}"/>
    <cellStyle name="40% - Accent3 5" xfId="80" xr:uid="{00000000-0005-0000-0000-00004F000000}"/>
    <cellStyle name="40% - Accent3 6" xfId="81" xr:uid="{00000000-0005-0000-0000-000050000000}"/>
    <cellStyle name="40% - Accent3 7" xfId="82" xr:uid="{00000000-0005-0000-0000-000051000000}"/>
    <cellStyle name="40% - Accent3 8" xfId="83" xr:uid="{00000000-0005-0000-0000-000052000000}"/>
    <cellStyle name="40% - Accent4" xfId="84" builtinId="43" customBuiltin="1"/>
    <cellStyle name="40% - Accent4 2" xfId="85" xr:uid="{00000000-0005-0000-0000-000054000000}"/>
    <cellStyle name="40% - Accent4 2 2" xfId="86" xr:uid="{00000000-0005-0000-0000-000055000000}"/>
    <cellStyle name="40% - Accent4 3" xfId="87" xr:uid="{00000000-0005-0000-0000-000056000000}"/>
    <cellStyle name="40% - Accent4 4" xfId="88" xr:uid="{00000000-0005-0000-0000-000057000000}"/>
    <cellStyle name="40% - Accent4 5" xfId="89" xr:uid="{00000000-0005-0000-0000-000058000000}"/>
    <cellStyle name="40% - Accent4 6" xfId="90" xr:uid="{00000000-0005-0000-0000-000059000000}"/>
    <cellStyle name="40% - Accent5" xfId="91" builtinId="47" customBuiltin="1"/>
    <cellStyle name="40% - Accent5 2" xfId="92" xr:uid="{00000000-0005-0000-0000-00005B000000}"/>
    <cellStyle name="40% - Accent5 2 2" xfId="93" xr:uid="{00000000-0005-0000-0000-00005C000000}"/>
    <cellStyle name="40% - Accent5 3" xfId="94" xr:uid="{00000000-0005-0000-0000-00005D000000}"/>
    <cellStyle name="40% - Accent5 4" xfId="95" xr:uid="{00000000-0005-0000-0000-00005E000000}"/>
    <cellStyle name="40% - Accent5 5" xfId="96" xr:uid="{00000000-0005-0000-0000-00005F000000}"/>
    <cellStyle name="40% - Accent5 6" xfId="97" xr:uid="{00000000-0005-0000-0000-000060000000}"/>
    <cellStyle name="40% - Accent5 7" xfId="98" xr:uid="{00000000-0005-0000-0000-000061000000}"/>
    <cellStyle name="40% - Accent5 8" xfId="99" xr:uid="{00000000-0005-0000-0000-000062000000}"/>
    <cellStyle name="40% - Accent6" xfId="100" builtinId="51" customBuiltin="1"/>
    <cellStyle name="40% - Accent6 2" xfId="101" xr:uid="{00000000-0005-0000-0000-000064000000}"/>
    <cellStyle name="40% - Accent6 2 2" xfId="102" xr:uid="{00000000-0005-0000-0000-000065000000}"/>
    <cellStyle name="40% - Accent6 3" xfId="103" xr:uid="{00000000-0005-0000-0000-000066000000}"/>
    <cellStyle name="40% - Accent6 4" xfId="104" xr:uid="{00000000-0005-0000-0000-000067000000}"/>
    <cellStyle name="40% - Accent6 5" xfId="105" xr:uid="{00000000-0005-0000-0000-000068000000}"/>
    <cellStyle name="40% - Accent6 6" xfId="106" xr:uid="{00000000-0005-0000-0000-000069000000}"/>
    <cellStyle name="40% - Accent6 7" xfId="107" xr:uid="{00000000-0005-0000-0000-00006A000000}"/>
    <cellStyle name="40% - Accent6 8" xfId="108" xr:uid="{00000000-0005-0000-0000-00006B000000}"/>
    <cellStyle name="60% - Accent1" xfId="109" builtinId="32" customBuiltin="1"/>
    <cellStyle name="60% - Accent1 2" xfId="110" xr:uid="{00000000-0005-0000-0000-00006D000000}"/>
    <cellStyle name="60% - Accent1 3" xfId="111" xr:uid="{00000000-0005-0000-0000-00006E000000}"/>
    <cellStyle name="60% - Accent1 4" xfId="112" xr:uid="{00000000-0005-0000-0000-00006F000000}"/>
    <cellStyle name="60% - Accent1 5" xfId="113" xr:uid="{00000000-0005-0000-0000-000070000000}"/>
    <cellStyle name="60% - Accent1 6" xfId="114" xr:uid="{00000000-0005-0000-0000-000071000000}"/>
    <cellStyle name="60% - Accent1 7" xfId="115" xr:uid="{00000000-0005-0000-0000-000072000000}"/>
    <cellStyle name="60% - Accent1 8" xfId="116" xr:uid="{00000000-0005-0000-0000-000073000000}"/>
    <cellStyle name="60% - Accent2" xfId="117" builtinId="36" customBuiltin="1"/>
    <cellStyle name="60% - Accent2 2" xfId="118" xr:uid="{00000000-0005-0000-0000-000075000000}"/>
    <cellStyle name="60% - Accent2 3" xfId="119" xr:uid="{00000000-0005-0000-0000-000076000000}"/>
    <cellStyle name="60% - Accent2 4" xfId="120" xr:uid="{00000000-0005-0000-0000-000077000000}"/>
    <cellStyle name="60% - Accent2 5" xfId="121" xr:uid="{00000000-0005-0000-0000-000078000000}"/>
    <cellStyle name="60% - Accent2 6" xfId="122" xr:uid="{00000000-0005-0000-0000-000079000000}"/>
    <cellStyle name="60% - Accent3" xfId="123" builtinId="40" customBuiltin="1"/>
    <cellStyle name="60% - Accent3 2" xfId="124" xr:uid="{00000000-0005-0000-0000-00007B000000}"/>
    <cellStyle name="60% - Accent3 3" xfId="125" xr:uid="{00000000-0005-0000-0000-00007C000000}"/>
    <cellStyle name="60% - Accent3 4" xfId="126" xr:uid="{00000000-0005-0000-0000-00007D000000}"/>
    <cellStyle name="60% - Accent3 5" xfId="127" xr:uid="{00000000-0005-0000-0000-00007E000000}"/>
    <cellStyle name="60% - Accent3 6" xfId="128" xr:uid="{00000000-0005-0000-0000-00007F000000}"/>
    <cellStyle name="60% - Accent3 7" xfId="129" xr:uid="{00000000-0005-0000-0000-000080000000}"/>
    <cellStyle name="60% - Accent3 8" xfId="130" xr:uid="{00000000-0005-0000-0000-000081000000}"/>
    <cellStyle name="60% - Accent4" xfId="131" builtinId="44" customBuiltin="1"/>
    <cellStyle name="60% - Accent4 2" xfId="132" xr:uid="{00000000-0005-0000-0000-000083000000}"/>
    <cellStyle name="60% - Accent4 3" xfId="133" xr:uid="{00000000-0005-0000-0000-000084000000}"/>
    <cellStyle name="60% - Accent4 4" xfId="134" xr:uid="{00000000-0005-0000-0000-000085000000}"/>
    <cellStyle name="60% - Accent4 5" xfId="135" xr:uid="{00000000-0005-0000-0000-000086000000}"/>
    <cellStyle name="60% - Accent4 6" xfId="136" xr:uid="{00000000-0005-0000-0000-000087000000}"/>
    <cellStyle name="60% - Accent5" xfId="137" builtinId="48" customBuiltin="1"/>
    <cellStyle name="60% - Accent5 2" xfId="138" xr:uid="{00000000-0005-0000-0000-000089000000}"/>
    <cellStyle name="60% - Accent5 3" xfId="139" xr:uid="{00000000-0005-0000-0000-00008A000000}"/>
    <cellStyle name="60% - Accent5 4" xfId="140" xr:uid="{00000000-0005-0000-0000-00008B000000}"/>
    <cellStyle name="60% - Accent5 5" xfId="141" xr:uid="{00000000-0005-0000-0000-00008C000000}"/>
    <cellStyle name="60% - Accent5 6" xfId="142" xr:uid="{00000000-0005-0000-0000-00008D000000}"/>
    <cellStyle name="60% - Accent5 7" xfId="143" xr:uid="{00000000-0005-0000-0000-00008E000000}"/>
    <cellStyle name="60% - Accent5 8" xfId="144" xr:uid="{00000000-0005-0000-0000-00008F000000}"/>
    <cellStyle name="60% - Accent6" xfId="145" builtinId="52" customBuiltin="1"/>
    <cellStyle name="60% - Accent6 2" xfId="146" xr:uid="{00000000-0005-0000-0000-000091000000}"/>
    <cellStyle name="60% - Accent6 3" xfId="147" xr:uid="{00000000-0005-0000-0000-000092000000}"/>
    <cellStyle name="60% - Accent6 4" xfId="148" xr:uid="{00000000-0005-0000-0000-000093000000}"/>
    <cellStyle name="60% - Accent6 5" xfId="149" xr:uid="{00000000-0005-0000-0000-000094000000}"/>
    <cellStyle name="60% - Accent6 6" xfId="150" xr:uid="{00000000-0005-0000-0000-000095000000}"/>
    <cellStyle name="60% - Accent6 7" xfId="151" xr:uid="{00000000-0005-0000-0000-000096000000}"/>
    <cellStyle name="60% - Accent6 8" xfId="152" xr:uid="{00000000-0005-0000-0000-000097000000}"/>
    <cellStyle name="Accent1" xfId="153" builtinId="29" customBuiltin="1"/>
    <cellStyle name="Accent1 2" xfId="154" xr:uid="{00000000-0005-0000-0000-000099000000}"/>
    <cellStyle name="Accent1 3" xfId="155" xr:uid="{00000000-0005-0000-0000-00009A000000}"/>
    <cellStyle name="Accent1 4" xfId="156" xr:uid="{00000000-0005-0000-0000-00009B000000}"/>
    <cellStyle name="Accent1 5" xfId="157" xr:uid="{00000000-0005-0000-0000-00009C000000}"/>
    <cellStyle name="Accent1 6" xfId="158" xr:uid="{00000000-0005-0000-0000-00009D000000}"/>
    <cellStyle name="Accent2" xfId="159" builtinId="33" customBuiltin="1"/>
    <cellStyle name="Accent2 2" xfId="160" xr:uid="{00000000-0005-0000-0000-00009F000000}"/>
    <cellStyle name="Accent2 3" xfId="161" xr:uid="{00000000-0005-0000-0000-0000A0000000}"/>
    <cellStyle name="Accent2 4" xfId="162" xr:uid="{00000000-0005-0000-0000-0000A1000000}"/>
    <cellStyle name="Accent2 5" xfId="163" xr:uid="{00000000-0005-0000-0000-0000A2000000}"/>
    <cellStyle name="Accent2 6" xfId="164" xr:uid="{00000000-0005-0000-0000-0000A3000000}"/>
    <cellStyle name="Accent2 7" xfId="165" xr:uid="{00000000-0005-0000-0000-0000A4000000}"/>
    <cellStyle name="Accent2 8" xfId="166" xr:uid="{00000000-0005-0000-0000-0000A5000000}"/>
    <cellStyle name="Accent3" xfId="167" builtinId="37" customBuiltin="1"/>
    <cellStyle name="Accent3 2" xfId="168" xr:uid="{00000000-0005-0000-0000-0000A7000000}"/>
    <cellStyle name="Accent3 3" xfId="169" xr:uid="{00000000-0005-0000-0000-0000A8000000}"/>
    <cellStyle name="Accent3 4" xfId="170" xr:uid="{00000000-0005-0000-0000-0000A9000000}"/>
    <cellStyle name="Accent3 5" xfId="171" xr:uid="{00000000-0005-0000-0000-0000AA000000}"/>
    <cellStyle name="Accent3 6" xfId="172" xr:uid="{00000000-0005-0000-0000-0000AB000000}"/>
    <cellStyle name="Accent3 7" xfId="173" xr:uid="{00000000-0005-0000-0000-0000AC000000}"/>
    <cellStyle name="Accent3 8" xfId="174" xr:uid="{00000000-0005-0000-0000-0000AD000000}"/>
    <cellStyle name="Accent4" xfId="175" builtinId="41" customBuiltin="1"/>
    <cellStyle name="Accent4 2" xfId="176" xr:uid="{00000000-0005-0000-0000-0000AF000000}"/>
    <cellStyle name="Accent4 3" xfId="177" xr:uid="{00000000-0005-0000-0000-0000B0000000}"/>
    <cellStyle name="Accent4 4" xfId="178" xr:uid="{00000000-0005-0000-0000-0000B1000000}"/>
    <cellStyle name="Accent4 5" xfId="179" xr:uid="{00000000-0005-0000-0000-0000B2000000}"/>
    <cellStyle name="Accent4 6" xfId="180" xr:uid="{00000000-0005-0000-0000-0000B3000000}"/>
    <cellStyle name="Accent5" xfId="181" builtinId="45" customBuiltin="1"/>
    <cellStyle name="Accent5 2" xfId="182" xr:uid="{00000000-0005-0000-0000-0000B5000000}"/>
    <cellStyle name="Accent5 3" xfId="183" xr:uid="{00000000-0005-0000-0000-0000B6000000}"/>
    <cellStyle name="Accent5 4" xfId="184" xr:uid="{00000000-0005-0000-0000-0000B7000000}"/>
    <cellStyle name="Accent5 5" xfId="185" xr:uid="{00000000-0005-0000-0000-0000B8000000}"/>
    <cellStyle name="Accent5 6" xfId="186" xr:uid="{00000000-0005-0000-0000-0000B9000000}"/>
    <cellStyle name="Accent6" xfId="187" builtinId="49" customBuiltin="1"/>
    <cellStyle name="Accent6 2" xfId="188" xr:uid="{00000000-0005-0000-0000-0000BB000000}"/>
    <cellStyle name="Accent6 3" xfId="189" xr:uid="{00000000-0005-0000-0000-0000BC000000}"/>
    <cellStyle name="Accent6 4" xfId="190" xr:uid="{00000000-0005-0000-0000-0000BD000000}"/>
    <cellStyle name="Accent6 5" xfId="191" xr:uid="{00000000-0005-0000-0000-0000BE000000}"/>
    <cellStyle name="Accent6 6" xfId="192" xr:uid="{00000000-0005-0000-0000-0000BF000000}"/>
    <cellStyle name="Accent6 7" xfId="193" xr:uid="{00000000-0005-0000-0000-0000C0000000}"/>
    <cellStyle name="Accent6 8" xfId="194" xr:uid="{00000000-0005-0000-0000-0000C1000000}"/>
    <cellStyle name="Bad" xfId="195" builtinId="27" customBuiltin="1"/>
    <cellStyle name="Bad 2" xfId="196" xr:uid="{00000000-0005-0000-0000-0000C3000000}"/>
    <cellStyle name="Bad 3" xfId="197" xr:uid="{00000000-0005-0000-0000-0000C4000000}"/>
    <cellStyle name="Bad 4" xfId="198" xr:uid="{00000000-0005-0000-0000-0000C5000000}"/>
    <cellStyle name="Bad 5" xfId="199" xr:uid="{00000000-0005-0000-0000-0000C6000000}"/>
    <cellStyle name="Bad 6" xfId="200" xr:uid="{00000000-0005-0000-0000-0000C7000000}"/>
    <cellStyle name="Bad 7" xfId="201" xr:uid="{00000000-0005-0000-0000-0000C8000000}"/>
    <cellStyle name="Bad 8" xfId="202" xr:uid="{00000000-0005-0000-0000-0000C9000000}"/>
    <cellStyle name="Calculation" xfId="203" builtinId="22" customBuiltin="1"/>
    <cellStyle name="Calculation 2" xfId="204" xr:uid="{00000000-0005-0000-0000-0000CB000000}"/>
    <cellStyle name="Calculation 3" xfId="205" xr:uid="{00000000-0005-0000-0000-0000CC000000}"/>
    <cellStyle name="Calculation 4" xfId="206" xr:uid="{00000000-0005-0000-0000-0000CD000000}"/>
    <cellStyle name="Calculation 5" xfId="207" xr:uid="{00000000-0005-0000-0000-0000CE000000}"/>
    <cellStyle name="Calculation 6" xfId="208" xr:uid="{00000000-0005-0000-0000-0000CF000000}"/>
    <cellStyle name="Calculation 7" xfId="209" xr:uid="{00000000-0005-0000-0000-0000D0000000}"/>
    <cellStyle name="Calculation 8" xfId="210" xr:uid="{00000000-0005-0000-0000-0000D1000000}"/>
    <cellStyle name="Check Cell" xfId="211" builtinId="23" customBuiltin="1"/>
    <cellStyle name="Check Cell 2" xfId="212" xr:uid="{00000000-0005-0000-0000-0000D3000000}"/>
    <cellStyle name="Check Cell 3" xfId="213" xr:uid="{00000000-0005-0000-0000-0000D4000000}"/>
    <cellStyle name="Check Cell 4" xfId="214" xr:uid="{00000000-0005-0000-0000-0000D5000000}"/>
    <cellStyle name="Check Cell 5" xfId="215" xr:uid="{00000000-0005-0000-0000-0000D6000000}"/>
    <cellStyle name="Check Cell 6" xfId="216" xr:uid="{00000000-0005-0000-0000-0000D7000000}"/>
    <cellStyle name="Comma [0] 2" xfId="217" xr:uid="{00000000-0005-0000-0000-0000D8000000}"/>
    <cellStyle name="Comma 2" xfId="218" xr:uid="{00000000-0005-0000-0000-0000D9000000}"/>
    <cellStyle name="Comma 2 2" xfId="219" xr:uid="{00000000-0005-0000-0000-0000DA000000}"/>
    <cellStyle name="Comma 4" xfId="220" xr:uid="{00000000-0005-0000-0000-0000DB000000}"/>
    <cellStyle name="Comma 4 2" xfId="221" xr:uid="{00000000-0005-0000-0000-0000DC000000}"/>
    <cellStyle name="Currency" xfId="222" builtinId="4"/>
    <cellStyle name="Currency 2" xfId="223" xr:uid="{00000000-0005-0000-0000-0000DE000000}"/>
    <cellStyle name="Currency 3" xfId="224" xr:uid="{00000000-0005-0000-0000-0000DF000000}"/>
    <cellStyle name="Currency 4" xfId="225" xr:uid="{00000000-0005-0000-0000-0000E0000000}"/>
    <cellStyle name="Currency 5" xfId="226" xr:uid="{00000000-0005-0000-0000-0000E1000000}"/>
    <cellStyle name="Currency 6" xfId="227" xr:uid="{00000000-0005-0000-0000-0000E2000000}"/>
    <cellStyle name="Explanatory Text" xfId="228" builtinId="53" customBuiltin="1"/>
    <cellStyle name="Explanatory Text 2" xfId="229" xr:uid="{00000000-0005-0000-0000-0000E4000000}"/>
    <cellStyle name="Explanatory Text 3" xfId="230" xr:uid="{00000000-0005-0000-0000-0000E5000000}"/>
    <cellStyle name="Explanatory Text 4" xfId="231" xr:uid="{00000000-0005-0000-0000-0000E6000000}"/>
    <cellStyle name="Explanatory Text 5" xfId="232" xr:uid="{00000000-0005-0000-0000-0000E7000000}"/>
    <cellStyle name="Explanatory Text 6" xfId="233" xr:uid="{00000000-0005-0000-0000-0000E8000000}"/>
    <cellStyle name="Good" xfId="234" builtinId="26" customBuiltin="1"/>
    <cellStyle name="Good 2" xfId="235" xr:uid="{00000000-0005-0000-0000-0000EA000000}"/>
    <cellStyle name="Good 3" xfId="236" xr:uid="{00000000-0005-0000-0000-0000EB000000}"/>
    <cellStyle name="Good 4" xfId="237" xr:uid="{00000000-0005-0000-0000-0000EC000000}"/>
    <cellStyle name="Good 5" xfId="238" xr:uid="{00000000-0005-0000-0000-0000ED000000}"/>
    <cellStyle name="Good 6" xfId="239" xr:uid="{00000000-0005-0000-0000-0000EE000000}"/>
    <cellStyle name="Good 7" xfId="240" xr:uid="{00000000-0005-0000-0000-0000EF000000}"/>
    <cellStyle name="Good 8" xfId="241" xr:uid="{00000000-0005-0000-0000-0000F0000000}"/>
    <cellStyle name="Heading 1" xfId="242" builtinId="16" customBuiltin="1"/>
    <cellStyle name="Heading 1 2" xfId="243" xr:uid="{00000000-0005-0000-0000-0000F2000000}"/>
    <cellStyle name="Heading 1 3" xfId="244" xr:uid="{00000000-0005-0000-0000-0000F3000000}"/>
    <cellStyle name="Heading 1 4" xfId="245" xr:uid="{00000000-0005-0000-0000-0000F4000000}"/>
    <cellStyle name="Heading 1 5" xfId="246" xr:uid="{00000000-0005-0000-0000-0000F5000000}"/>
    <cellStyle name="Heading 1 6" xfId="247" xr:uid="{00000000-0005-0000-0000-0000F6000000}"/>
    <cellStyle name="Heading 1 7" xfId="248" xr:uid="{00000000-0005-0000-0000-0000F7000000}"/>
    <cellStyle name="Heading 1 8" xfId="249" xr:uid="{00000000-0005-0000-0000-0000F8000000}"/>
    <cellStyle name="Heading 2" xfId="250" builtinId="17" customBuiltin="1"/>
    <cellStyle name="Heading 2 2" xfId="251" xr:uid="{00000000-0005-0000-0000-0000FA000000}"/>
    <cellStyle name="Heading 2 3" xfId="252" xr:uid="{00000000-0005-0000-0000-0000FB000000}"/>
    <cellStyle name="Heading 2 4" xfId="253" xr:uid="{00000000-0005-0000-0000-0000FC000000}"/>
    <cellStyle name="Heading 2 5" xfId="254" xr:uid="{00000000-0005-0000-0000-0000FD000000}"/>
    <cellStyle name="Heading 2 6" xfId="255" xr:uid="{00000000-0005-0000-0000-0000FE000000}"/>
    <cellStyle name="Heading 2 7" xfId="256" xr:uid="{00000000-0005-0000-0000-0000FF000000}"/>
    <cellStyle name="Heading 2 8" xfId="257" xr:uid="{00000000-0005-0000-0000-000000010000}"/>
    <cellStyle name="Heading 3" xfId="258" builtinId="18" customBuiltin="1"/>
    <cellStyle name="Heading 3 2" xfId="259" xr:uid="{00000000-0005-0000-0000-000002010000}"/>
    <cellStyle name="Heading 3 3" xfId="260" xr:uid="{00000000-0005-0000-0000-000003010000}"/>
    <cellStyle name="Heading 3 4" xfId="261" xr:uid="{00000000-0005-0000-0000-000004010000}"/>
    <cellStyle name="Heading 3 5" xfId="262" xr:uid="{00000000-0005-0000-0000-000005010000}"/>
    <cellStyle name="Heading 3 6" xfId="263" xr:uid="{00000000-0005-0000-0000-000006010000}"/>
    <cellStyle name="Heading 3 7" xfId="264" xr:uid="{00000000-0005-0000-0000-000007010000}"/>
    <cellStyle name="Heading 3 8" xfId="265" xr:uid="{00000000-0005-0000-0000-000008010000}"/>
    <cellStyle name="Heading 4" xfId="266" builtinId="19" customBuiltin="1"/>
    <cellStyle name="Heading 4 2" xfId="267" xr:uid="{00000000-0005-0000-0000-00000A010000}"/>
    <cellStyle name="Heading 4 3" xfId="268" xr:uid="{00000000-0005-0000-0000-00000B010000}"/>
    <cellStyle name="Heading 4 4" xfId="269" xr:uid="{00000000-0005-0000-0000-00000C010000}"/>
    <cellStyle name="Heading 4 5" xfId="270" xr:uid="{00000000-0005-0000-0000-00000D010000}"/>
    <cellStyle name="Heading 4 6" xfId="271" xr:uid="{00000000-0005-0000-0000-00000E010000}"/>
    <cellStyle name="Heading 4 7" xfId="272" xr:uid="{00000000-0005-0000-0000-00000F010000}"/>
    <cellStyle name="Heading 4 8" xfId="273" xr:uid="{00000000-0005-0000-0000-000010010000}"/>
    <cellStyle name="Hyperlink" xfId="274" builtinId="8"/>
    <cellStyle name="Hyperlink 2" xfId="275" xr:uid="{00000000-0005-0000-0000-000012010000}"/>
    <cellStyle name="Hyperlink 3" xfId="276" xr:uid="{00000000-0005-0000-0000-000013010000}"/>
    <cellStyle name="Hyperlink 4" xfId="277" xr:uid="{00000000-0005-0000-0000-000014010000}"/>
    <cellStyle name="Input" xfId="278" builtinId="20" customBuiltin="1"/>
    <cellStyle name="Input 2" xfId="279" xr:uid="{00000000-0005-0000-0000-000016010000}"/>
    <cellStyle name="Input 3" xfId="280" xr:uid="{00000000-0005-0000-0000-000017010000}"/>
    <cellStyle name="Input 4" xfId="281" xr:uid="{00000000-0005-0000-0000-000018010000}"/>
    <cellStyle name="Input 5" xfId="282" xr:uid="{00000000-0005-0000-0000-000019010000}"/>
    <cellStyle name="Input 6" xfId="283" xr:uid="{00000000-0005-0000-0000-00001A010000}"/>
    <cellStyle name="Input 7" xfId="284" xr:uid="{00000000-0005-0000-0000-00001B010000}"/>
    <cellStyle name="Input 8" xfId="285" xr:uid="{00000000-0005-0000-0000-00001C010000}"/>
    <cellStyle name="Linked Cell" xfId="286" builtinId="24" customBuiltin="1"/>
    <cellStyle name="Linked Cell 2" xfId="287" xr:uid="{00000000-0005-0000-0000-00001E010000}"/>
    <cellStyle name="Linked Cell 3" xfId="288" xr:uid="{00000000-0005-0000-0000-00001F010000}"/>
    <cellStyle name="Linked Cell 4" xfId="289" xr:uid="{00000000-0005-0000-0000-000020010000}"/>
    <cellStyle name="Linked Cell 5" xfId="290" xr:uid="{00000000-0005-0000-0000-000021010000}"/>
    <cellStyle name="Linked Cell 6" xfId="291" xr:uid="{00000000-0005-0000-0000-000022010000}"/>
    <cellStyle name="Linked Cell 7" xfId="292" xr:uid="{00000000-0005-0000-0000-000023010000}"/>
    <cellStyle name="Linked Cell 8" xfId="293" xr:uid="{00000000-0005-0000-0000-000024010000}"/>
    <cellStyle name="Neutral" xfId="294" builtinId="28" customBuiltin="1"/>
    <cellStyle name="Neutral 2" xfId="295" xr:uid="{00000000-0005-0000-0000-000026010000}"/>
    <cellStyle name="Neutral 3" xfId="296" xr:uid="{00000000-0005-0000-0000-000027010000}"/>
    <cellStyle name="Neutral 4" xfId="297" xr:uid="{00000000-0005-0000-0000-000028010000}"/>
    <cellStyle name="Neutral 5" xfId="298" xr:uid="{00000000-0005-0000-0000-000029010000}"/>
    <cellStyle name="Neutral 6" xfId="299" xr:uid="{00000000-0005-0000-0000-00002A010000}"/>
    <cellStyle name="Neutral 7" xfId="300" xr:uid="{00000000-0005-0000-0000-00002B010000}"/>
    <cellStyle name="Neutral 8" xfId="301" xr:uid="{00000000-0005-0000-0000-00002C010000}"/>
    <cellStyle name="Normal" xfId="0" builtinId="0"/>
    <cellStyle name="Normal 10" xfId="302" xr:uid="{00000000-0005-0000-0000-00002E010000}"/>
    <cellStyle name="Normal 10 10 2" xfId="303" xr:uid="{00000000-0005-0000-0000-00002F010000}"/>
    <cellStyle name="Normal 10 2" xfId="304" xr:uid="{00000000-0005-0000-0000-000030010000}"/>
    <cellStyle name="Normal 11" xfId="305" xr:uid="{00000000-0005-0000-0000-000031010000}"/>
    <cellStyle name="Normal 11 2" xfId="306" xr:uid="{00000000-0005-0000-0000-000032010000}"/>
    <cellStyle name="Normal 12" xfId="307" xr:uid="{00000000-0005-0000-0000-000033010000}"/>
    <cellStyle name="Normal 12 2" xfId="308" xr:uid="{00000000-0005-0000-0000-000034010000}"/>
    <cellStyle name="Normal 13" xfId="309" xr:uid="{00000000-0005-0000-0000-000035010000}"/>
    <cellStyle name="Normal 14" xfId="310" xr:uid="{00000000-0005-0000-0000-000036010000}"/>
    <cellStyle name="Normal 15" xfId="311" xr:uid="{00000000-0005-0000-0000-000037010000}"/>
    <cellStyle name="Normal 2" xfId="312" xr:uid="{00000000-0005-0000-0000-000038010000}"/>
    <cellStyle name="Normal 2 2" xfId="313" xr:uid="{00000000-0005-0000-0000-000039010000}"/>
    <cellStyle name="Normal 2 2 2" xfId="314" xr:uid="{00000000-0005-0000-0000-00003A010000}"/>
    <cellStyle name="Normal 2 3" xfId="315" xr:uid="{00000000-0005-0000-0000-00003B010000}"/>
    <cellStyle name="Normal 2 3 2" xfId="316" xr:uid="{00000000-0005-0000-0000-00003C010000}"/>
    <cellStyle name="Normal 2 4" xfId="317" xr:uid="{00000000-0005-0000-0000-00003D010000}"/>
    <cellStyle name="Normal 3" xfId="318" xr:uid="{00000000-0005-0000-0000-00003E010000}"/>
    <cellStyle name="Normal 3 2" xfId="319" xr:uid="{00000000-0005-0000-0000-00003F010000}"/>
    <cellStyle name="Normal 3 2 2" xfId="320" xr:uid="{00000000-0005-0000-0000-000040010000}"/>
    <cellStyle name="Normal 3 3" xfId="321" xr:uid="{00000000-0005-0000-0000-000041010000}"/>
    <cellStyle name="Normal 4" xfId="322" xr:uid="{00000000-0005-0000-0000-000042010000}"/>
    <cellStyle name="Normal 4 2" xfId="323" xr:uid="{00000000-0005-0000-0000-000043010000}"/>
    <cellStyle name="Normal 4 3" xfId="324" xr:uid="{00000000-0005-0000-0000-000044010000}"/>
    <cellStyle name="Normal 5" xfId="325" xr:uid="{00000000-0005-0000-0000-000045010000}"/>
    <cellStyle name="Normal 5 2" xfId="326" xr:uid="{00000000-0005-0000-0000-000046010000}"/>
    <cellStyle name="Normal 5 2 2" xfId="327" xr:uid="{00000000-0005-0000-0000-000047010000}"/>
    <cellStyle name="Normal 5 3" xfId="328" xr:uid="{00000000-0005-0000-0000-000048010000}"/>
    <cellStyle name="Normal 5_VITA VBS Catalog 7.13" xfId="329" xr:uid="{00000000-0005-0000-0000-000049010000}"/>
    <cellStyle name="Normal 6" xfId="330" xr:uid="{00000000-0005-0000-0000-00004A010000}"/>
    <cellStyle name="Normal 6 2" xfId="331" xr:uid="{00000000-0005-0000-0000-00004B010000}"/>
    <cellStyle name="Normal 7" xfId="332" xr:uid="{00000000-0005-0000-0000-00004C010000}"/>
    <cellStyle name="Normal 7 2" xfId="333" xr:uid="{00000000-0005-0000-0000-00004D010000}"/>
    <cellStyle name="Normal 8" xfId="334" xr:uid="{00000000-0005-0000-0000-00004E010000}"/>
    <cellStyle name="Normal 8 2" xfId="335" xr:uid="{00000000-0005-0000-0000-00004F010000}"/>
    <cellStyle name="Normal 9" xfId="336" xr:uid="{00000000-0005-0000-0000-000050010000}"/>
    <cellStyle name="Normal 9 2" xfId="337" xr:uid="{00000000-0005-0000-0000-000051010000}"/>
    <cellStyle name="Normal_C554e" xfId="338" xr:uid="{00000000-0005-0000-0000-000052010000}"/>
    <cellStyle name="Normal_KIP 7100 (WF) Segment #40 2" xfId="401" xr:uid="{1FEB4B8E-9B18-4AC7-9A89-A5A27876EF03}"/>
    <cellStyle name="Normal_KIP 7700 (WF) Segment #41 2" xfId="339" xr:uid="{00000000-0005-0000-0000-000055010000}"/>
    <cellStyle name="Normal_Konica 20 Segment #7" xfId="340" xr:uid="{00000000-0005-0000-0000-000056010000}"/>
    <cellStyle name="Normal_Konica 20 Segment #7 2" xfId="402" xr:uid="{7E55D187-5457-4B0D-A710-DA99B1A17738}"/>
    <cellStyle name="Normal_Konica 36-Segment #9  2" xfId="399" xr:uid="{A2E8F635-6446-438D-9C88-4D870D2289A7}"/>
    <cellStyle name="Normal_Konica C35P Segment #29" xfId="341" xr:uid="{00000000-0005-0000-0000-000059010000}"/>
    <cellStyle name="Normal_Konica C364-Segment #13 2" xfId="400" xr:uid="{7DC7F438-AFCD-451C-971B-FDE04E0D0577}"/>
    <cellStyle name="Normal_Konica C554-Segment #15 2" xfId="342" xr:uid="{00000000-0005-0000-0000-00005B010000}"/>
    <cellStyle name="Normal_Konica C7000-Production Pri (2)" xfId="343" xr:uid="{00000000-0005-0000-0000-00005C010000}"/>
    <cellStyle name="Normal_Konica C7000-Segment #15 2" xfId="344" xr:uid="{00000000-0005-0000-0000-00005E010000}"/>
    <cellStyle name="Normal_Konica C8000-Production Print" xfId="345" xr:uid="{00000000-0005-0000-0000-00005F010000}"/>
    <cellStyle name="Normal_Sheet1" xfId="346" xr:uid="{00000000-0005-0000-0000-000060010000}"/>
    <cellStyle name="Normal_Sheet3 2" xfId="347" xr:uid="{00000000-0005-0000-0000-000061010000}"/>
    <cellStyle name="Normal_VITA VBS Catalog-Konica &amp; Ricoh Update 4.13" xfId="348" xr:uid="{00000000-0005-0000-0000-000062010000}"/>
    <cellStyle name="Note" xfId="349" builtinId="10" customBuiltin="1"/>
    <cellStyle name="Note 2" xfId="350" xr:uid="{00000000-0005-0000-0000-000064010000}"/>
    <cellStyle name="Note 2 2" xfId="351" xr:uid="{00000000-0005-0000-0000-000065010000}"/>
    <cellStyle name="Note 2 3" xfId="352" xr:uid="{00000000-0005-0000-0000-000066010000}"/>
    <cellStyle name="Note 3" xfId="353" xr:uid="{00000000-0005-0000-0000-000067010000}"/>
    <cellStyle name="Note 3 2" xfId="354" xr:uid="{00000000-0005-0000-0000-000068010000}"/>
    <cellStyle name="Note 4" xfId="355" xr:uid="{00000000-0005-0000-0000-000069010000}"/>
    <cellStyle name="Note 4 2" xfId="356" xr:uid="{00000000-0005-0000-0000-00006A010000}"/>
    <cellStyle name="Note 5" xfId="357" xr:uid="{00000000-0005-0000-0000-00006B010000}"/>
    <cellStyle name="Note 5 2" xfId="358" xr:uid="{00000000-0005-0000-0000-00006C010000}"/>
    <cellStyle name="Note 6" xfId="359" xr:uid="{00000000-0005-0000-0000-00006D010000}"/>
    <cellStyle name="Note 7" xfId="360" xr:uid="{00000000-0005-0000-0000-00006E010000}"/>
    <cellStyle name="Note 8" xfId="361" xr:uid="{00000000-0005-0000-0000-00006F010000}"/>
    <cellStyle name="Note 9" xfId="362" xr:uid="{00000000-0005-0000-0000-000070010000}"/>
    <cellStyle name="Output" xfId="363" builtinId="21" customBuiltin="1"/>
    <cellStyle name="Output 2" xfId="364" xr:uid="{00000000-0005-0000-0000-000072010000}"/>
    <cellStyle name="Output 3" xfId="365" xr:uid="{00000000-0005-0000-0000-000073010000}"/>
    <cellStyle name="Output 4" xfId="366" xr:uid="{00000000-0005-0000-0000-000074010000}"/>
    <cellStyle name="Output 5" xfId="367" xr:uid="{00000000-0005-0000-0000-000075010000}"/>
    <cellStyle name="Output 6" xfId="368" xr:uid="{00000000-0005-0000-0000-000076010000}"/>
    <cellStyle name="Percent 2" xfId="369" xr:uid="{00000000-0005-0000-0000-000077010000}"/>
    <cellStyle name="Percent 3" xfId="370" xr:uid="{00000000-0005-0000-0000-000078010000}"/>
    <cellStyle name="Percent 4" xfId="371" xr:uid="{00000000-0005-0000-0000-000079010000}"/>
    <cellStyle name="Percent 5" xfId="372" xr:uid="{00000000-0005-0000-0000-00007A010000}"/>
    <cellStyle name="Product Code" xfId="373" xr:uid="{00000000-0005-0000-0000-00007B010000}"/>
    <cellStyle name="Style 1" xfId="374" xr:uid="{00000000-0005-0000-0000-00007C010000}"/>
    <cellStyle name="Style 1 2 2 2" xfId="375" xr:uid="{00000000-0005-0000-0000-00007D010000}"/>
    <cellStyle name="Title" xfId="376" builtinId="15" customBuiltin="1"/>
    <cellStyle name="Title 2" xfId="377" xr:uid="{00000000-0005-0000-0000-00007F010000}"/>
    <cellStyle name="Title 3" xfId="378" xr:uid="{00000000-0005-0000-0000-000080010000}"/>
    <cellStyle name="Title 4" xfId="379" xr:uid="{00000000-0005-0000-0000-000081010000}"/>
    <cellStyle name="Title 5" xfId="380" xr:uid="{00000000-0005-0000-0000-000082010000}"/>
    <cellStyle name="Title 6" xfId="381" xr:uid="{00000000-0005-0000-0000-000083010000}"/>
    <cellStyle name="Title 7" xfId="382" xr:uid="{00000000-0005-0000-0000-000084010000}"/>
    <cellStyle name="Title 8" xfId="383" xr:uid="{00000000-0005-0000-0000-000085010000}"/>
    <cellStyle name="Total" xfId="384" builtinId="25" customBuiltin="1"/>
    <cellStyle name="Total 2" xfId="385" xr:uid="{00000000-0005-0000-0000-000087010000}"/>
    <cellStyle name="Total 3" xfId="386" xr:uid="{00000000-0005-0000-0000-000088010000}"/>
    <cellStyle name="Total 4" xfId="387" xr:uid="{00000000-0005-0000-0000-000089010000}"/>
    <cellStyle name="Total 5" xfId="388" xr:uid="{00000000-0005-0000-0000-00008A010000}"/>
    <cellStyle name="Total 6" xfId="389" xr:uid="{00000000-0005-0000-0000-00008B010000}"/>
    <cellStyle name="Warning Text" xfId="390" builtinId="11" customBuiltin="1"/>
    <cellStyle name="Warning Text 2" xfId="391" xr:uid="{00000000-0005-0000-0000-00008D010000}"/>
    <cellStyle name="Warning Text 3" xfId="392" xr:uid="{00000000-0005-0000-0000-00008E010000}"/>
    <cellStyle name="Warning Text 4" xfId="393" xr:uid="{00000000-0005-0000-0000-00008F010000}"/>
    <cellStyle name="Warning Text 5" xfId="394" xr:uid="{00000000-0005-0000-0000-000090010000}"/>
    <cellStyle name="Warning Text 6" xfId="395" xr:uid="{00000000-0005-0000-0000-000091010000}"/>
    <cellStyle name="Warning Text 7" xfId="396" xr:uid="{00000000-0005-0000-0000-000092010000}"/>
    <cellStyle name="쉼표 [0] 2" xfId="397" xr:uid="{00000000-0005-0000-0000-000093010000}"/>
    <cellStyle name="標準_PriceList(MSG)D.New" xfId="398" xr:uid="{00000000-0005-0000-0000-000094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2" name="Picture 1" descr="KIP Logo">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-1760220</xdr:colOff>
      <xdr:row>1</xdr:row>
      <xdr:rowOff>822960</xdr:rowOff>
    </xdr:from>
    <xdr:to>
      <xdr:col>3</xdr:col>
      <xdr:colOff>38100</xdr:colOff>
      <xdr:row>2</xdr:row>
      <xdr:rowOff>38100</xdr:rowOff>
    </xdr:to>
    <xdr:pic>
      <xdr:nvPicPr>
        <xdr:cNvPr id="2" name="Picture 9">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 y="1203960"/>
          <a:ext cx="130225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1729740</xdr:colOff>
      <xdr:row>1</xdr:row>
      <xdr:rowOff>1744980</xdr:rowOff>
    </xdr:from>
    <xdr:to>
      <xdr:col>2</xdr:col>
      <xdr:colOff>0</xdr:colOff>
      <xdr:row>155</xdr:row>
      <xdr:rowOff>38100</xdr:rowOff>
    </xdr:to>
    <xdr:pic>
      <xdr:nvPicPr>
        <xdr:cNvPr id="2" name="Picture 1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2125980"/>
          <a:ext cx="11597640" cy="264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-1607820</xdr:colOff>
      <xdr:row>1</xdr:row>
      <xdr:rowOff>899160</xdr:rowOff>
    </xdr:from>
    <xdr:to>
      <xdr:col>0</xdr:col>
      <xdr:colOff>-1455420</xdr:colOff>
      <xdr:row>173</xdr:row>
      <xdr:rowOff>38100</xdr:rowOff>
    </xdr:to>
    <xdr:pic>
      <xdr:nvPicPr>
        <xdr:cNvPr id="2" name="Picture 14">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7820" y="1280160"/>
          <a:ext cx="152400" cy="3004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198120</xdr:colOff>
      <xdr:row>1</xdr:row>
      <xdr:rowOff>38100</xdr:rowOff>
    </xdr:from>
    <xdr:to>
      <xdr:col>2</xdr:col>
      <xdr:colOff>0</xdr:colOff>
      <xdr:row>11</xdr:row>
      <xdr:rowOff>38100</xdr:rowOff>
    </xdr:to>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3940" y="449580"/>
          <a:ext cx="473202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xdr:row>
      <xdr:rowOff>38100</xdr:rowOff>
    </xdr:from>
    <xdr:to>
      <xdr:col>0</xdr:col>
      <xdr:colOff>1316355</xdr:colOff>
      <xdr:row>39</xdr:row>
      <xdr:rowOff>38100</xdr:rowOff>
    </xdr:to>
    <xdr:pic>
      <xdr:nvPicPr>
        <xdr:cNvPr id="2" name="Picture 2">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19100"/>
          <a:ext cx="1278255" cy="7002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2926080</xdr:colOff>
      <xdr:row>0</xdr:row>
      <xdr:rowOff>647700</xdr:rowOff>
    </xdr:from>
    <xdr:to>
      <xdr:col>1</xdr:col>
      <xdr:colOff>1082040</xdr:colOff>
      <xdr:row>0</xdr:row>
      <xdr:rowOff>1219200</xdr:rowOff>
    </xdr:to>
    <xdr:pic>
      <xdr:nvPicPr>
        <xdr:cNvPr id="2" name="Picture 3">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6080" y="647700"/>
          <a:ext cx="13106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60960</xdr:colOff>
      <xdr:row>2</xdr:row>
      <xdr:rowOff>45720</xdr:rowOff>
    </xdr:from>
    <xdr:to>
      <xdr:col>0</xdr:col>
      <xdr:colOff>76200</xdr:colOff>
      <xdr:row>4</xdr:row>
      <xdr:rowOff>7620</xdr:rowOff>
    </xdr:to>
    <xdr:pic>
      <xdr:nvPicPr>
        <xdr:cNvPr id="748733" name="Picture 4">
          <a:extLst>
            <a:ext uri="{FF2B5EF4-FFF2-40B4-BE49-F238E27FC236}">
              <a16:creationId xmlns:a16="http://schemas.microsoft.com/office/drawing/2014/main" id="{00000000-0008-0000-5000-0000BD6C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35280"/>
          <a:ext cx="15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29830" name="Picture 7" descr="KIP Logo">
          <a:extLst>
            <a:ext uri="{FF2B5EF4-FFF2-40B4-BE49-F238E27FC236}">
              <a16:creationId xmlns:a16="http://schemas.microsoft.com/office/drawing/2014/main" id="{00000000-0008-0000-5100-0000E622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30854" name="Picture 7" descr="KIP Logo">
          <a:extLst>
            <a:ext uri="{FF2B5EF4-FFF2-40B4-BE49-F238E27FC236}">
              <a16:creationId xmlns:a16="http://schemas.microsoft.com/office/drawing/2014/main" id="{00000000-0008-0000-5200-0000E62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2" name="Picture 1" descr="KIP Logo">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2" name="Picture 7" descr="KIP Logo">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9</xdr:col>
          <xdr:colOff>0</xdr:colOff>
          <xdr:row>15</xdr:row>
          <xdr:rowOff>0</xdr:rowOff>
        </xdr:to>
        <xdr:sp macro="" textlink="">
          <xdr:nvSpPr>
            <xdr:cNvPr id="676865" name="Object 1" hidden="1">
              <a:extLst>
                <a:ext uri="{63B3BB69-23CF-44E3-9099-C40C66FF867C}">
                  <a14:compatExt spid="_x0000_s676865"/>
                </a:ext>
                <a:ext uri="{FF2B5EF4-FFF2-40B4-BE49-F238E27FC236}">
                  <a16:creationId xmlns:a16="http://schemas.microsoft.com/office/drawing/2014/main" id="{00000000-0008-0000-4300-00000154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1</xdr:row>
      <xdr:rowOff>1196340</xdr:rowOff>
    </xdr:from>
    <xdr:to>
      <xdr:col>1</xdr:col>
      <xdr:colOff>76200</xdr:colOff>
      <xdr:row>6</xdr:row>
      <xdr:rowOff>38100</xdr:rowOff>
    </xdr:to>
    <xdr:pic>
      <xdr:nvPicPr>
        <xdr:cNvPr id="2" name="Picture 4">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1240" y="1592580"/>
          <a:ext cx="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-1478280</xdr:colOff>
      <xdr:row>7</xdr:row>
      <xdr:rowOff>1592580</xdr:rowOff>
    </xdr:from>
    <xdr:to>
      <xdr:col>2</xdr:col>
      <xdr:colOff>38100</xdr:colOff>
      <xdr:row>143</xdr:row>
      <xdr:rowOff>38100</xdr:rowOff>
    </xdr:to>
    <xdr:pic>
      <xdr:nvPicPr>
        <xdr:cNvPr id="2" name="Picture 2">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8" t="1532" r="-230" b="-1532"/>
        <a:stretch>
          <a:fillRect/>
        </a:stretch>
      </xdr:blipFill>
      <xdr:spPr bwMode="auto">
        <a:xfrm>
          <a:off x="-1478280" y="2979420"/>
          <a:ext cx="12412980" cy="2341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py%20of%20EBSVBSWork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 Survey"/>
      <sheetName val="PickupEMF "/>
      <sheetName val="Movement Form"/>
      <sheetName val="SOP INFO"/>
      <sheetName val="PASalesOrder"/>
      <sheetName val="VASalesOrder"/>
      <sheetName val="Commission Worksheet"/>
      <sheetName val="Document Non Disclosure"/>
      <sheetName val="Pricing Exception"/>
      <sheetName val="Installation Verification"/>
      <sheetName val="220 VAC 20amp"/>
      <sheetName val="115 VAC 15amp"/>
      <sheetName val="115 VAC 20amp"/>
    </sheetNames>
    <sheetDataSet>
      <sheetData sheetId="0"/>
      <sheetData sheetId="1"/>
      <sheetData sheetId="2"/>
      <sheetData sheetId="3"/>
      <sheetData sheetId="4"/>
      <sheetData sheetId="5"/>
      <sheetData sheetId="6" refreshError="1">
        <row r="41">
          <cell r="C41">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8.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9.bin"/><Relationship Id="rId1" Type="http://schemas.openxmlformats.org/officeDocument/2006/relationships/hyperlink" Target="https://www.papercut.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0.bin"/><Relationship Id="rId1" Type="http://schemas.openxmlformats.org/officeDocument/2006/relationships/hyperlink" Target="http://www.prismsoftware.com/products/scanpath/"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1.bin"/><Relationship Id="rId1" Type="http://schemas.openxmlformats.org/officeDocument/2006/relationships/hyperlink" Target="https://tinyurl.com/yxr8aruj"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2.bin"/><Relationship Id="rId1" Type="http://schemas.openxmlformats.org/officeDocument/2006/relationships/hyperlink" Target="https://us.konicaminoltamarketplace.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3.bin"/><Relationship Id="rId1" Type="http://schemas.openxmlformats.org/officeDocument/2006/relationships/hyperlink" Target="http://www.square-9.com/"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62"/>
  </sheetPr>
  <dimension ref="A1:Q62"/>
  <sheetViews>
    <sheetView zoomScale="90" zoomScaleNormal="90" workbookViewId="0">
      <selection activeCell="A7" sqref="A7"/>
    </sheetView>
  </sheetViews>
  <sheetFormatPr defaultColWidth="8.85546875" defaultRowHeight="12.75"/>
  <cols>
    <col min="1" max="1" width="15.28515625" style="73" customWidth="1"/>
    <col min="2" max="2" width="9.140625" style="73" customWidth="1"/>
    <col min="3" max="3" width="14" style="73" customWidth="1"/>
    <col min="4" max="4" width="33.140625" style="73" customWidth="1"/>
    <col min="5" max="5" width="15.7109375" style="73" customWidth="1"/>
    <col min="6" max="6" width="18.28515625" style="130" customWidth="1"/>
    <col min="7" max="7" width="23.140625" style="130" customWidth="1"/>
    <col min="8" max="8" width="24" style="73" customWidth="1"/>
    <col min="9" max="9" width="20.85546875" style="73" customWidth="1"/>
    <col min="10" max="10" width="23" style="73" customWidth="1"/>
    <col min="11" max="11" width="20.42578125" style="73" customWidth="1"/>
    <col min="12" max="12" width="23.28515625" style="73" customWidth="1"/>
    <col min="13" max="13" width="20.85546875" style="73" customWidth="1"/>
    <col min="14" max="14" width="23.5703125" style="73" customWidth="1"/>
    <col min="15" max="15" width="20.85546875" style="73" customWidth="1"/>
    <col min="16" max="16384" width="8.85546875" style="73"/>
  </cols>
  <sheetData>
    <row r="1" spans="1:17" ht="13.5" thickBot="1">
      <c r="B1" s="74"/>
      <c r="C1" s="74"/>
      <c r="D1" s="75"/>
      <c r="E1" s="75"/>
      <c r="F1" s="76"/>
      <c r="G1" s="76"/>
      <c r="H1" s="76"/>
      <c r="I1" s="76"/>
      <c r="J1" s="76"/>
      <c r="K1" s="76"/>
      <c r="L1" s="76"/>
    </row>
    <row r="2" spans="1:17" ht="9" customHeight="1">
      <c r="A2" s="77"/>
      <c r="B2" s="78"/>
      <c r="C2" s="78"/>
      <c r="D2" s="79"/>
      <c r="E2" s="79"/>
      <c r="F2" s="80"/>
      <c r="G2" s="80"/>
      <c r="H2" s="80"/>
      <c r="I2" s="81"/>
      <c r="J2" s="81"/>
      <c r="K2" s="81"/>
      <c r="L2" s="81"/>
      <c r="M2" s="77"/>
      <c r="N2" s="77"/>
      <c r="O2" s="77"/>
    </row>
    <row r="3" spans="1:17" ht="10.5" customHeight="1">
      <c r="B3" s="74"/>
      <c r="C3" s="74"/>
      <c r="D3" s="75"/>
      <c r="E3" s="75"/>
      <c r="F3" s="76"/>
      <c r="G3" s="76"/>
      <c r="H3" s="76"/>
      <c r="I3" s="82"/>
      <c r="J3" s="82"/>
      <c r="K3" s="82"/>
      <c r="L3" s="82"/>
    </row>
    <row r="4" spans="1:17" ht="30">
      <c r="A4" s="995" t="s">
        <v>4090</v>
      </c>
      <c r="B4" s="964"/>
      <c r="C4" s="964"/>
      <c r="D4" s="964"/>
      <c r="E4" s="964"/>
      <c r="F4" s="964"/>
      <c r="G4" s="964"/>
      <c r="H4" s="964"/>
      <c r="I4" s="964"/>
      <c r="J4" s="964"/>
      <c r="K4" s="964"/>
      <c r="L4" s="964"/>
      <c r="M4" s="964"/>
      <c r="N4" s="964"/>
      <c r="O4" s="964"/>
    </row>
    <row r="5" spans="1:17" s="83" customFormat="1" ht="38.25" customHeight="1">
      <c r="A5" s="996" t="s">
        <v>4092</v>
      </c>
      <c r="B5" s="997"/>
      <c r="C5" s="997"/>
      <c r="D5" s="997"/>
      <c r="E5" s="997"/>
      <c r="F5" s="997"/>
      <c r="G5" s="997"/>
      <c r="H5" s="997"/>
      <c r="I5" s="997"/>
      <c r="J5" s="997"/>
      <c r="K5" s="997"/>
      <c r="L5" s="997"/>
      <c r="M5" s="997"/>
      <c r="N5" s="997"/>
      <c r="O5" s="997"/>
    </row>
    <row r="6" spans="1:17" ht="9" customHeight="1" thickBot="1">
      <c r="A6" s="84"/>
      <c r="B6" s="85"/>
      <c r="C6" s="85"/>
      <c r="D6" s="86"/>
      <c r="E6" s="86"/>
      <c r="F6" s="87"/>
      <c r="G6" s="87"/>
      <c r="H6" s="87"/>
      <c r="I6" s="88"/>
      <c r="J6" s="88"/>
      <c r="K6" s="88"/>
      <c r="L6" s="88"/>
      <c r="M6" s="84"/>
      <c r="N6" s="84"/>
      <c r="O6" s="84"/>
    </row>
    <row r="9" spans="1:17" s="82" customFormat="1" ht="14.25">
      <c r="B9" s="89"/>
      <c r="C9" s="89"/>
      <c r="D9" s="90"/>
      <c r="E9" s="90"/>
      <c r="F9" s="90"/>
      <c r="G9" s="90"/>
      <c r="H9" s="90"/>
      <c r="I9" s="90"/>
      <c r="J9" s="90"/>
      <c r="K9" s="90"/>
      <c r="L9" s="90"/>
    </row>
    <row r="10" spans="1:17" s="82" customFormat="1" ht="14.25">
      <c r="F10" s="994" t="s">
        <v>0</v>
      </c>
      <c r="G10" s="994"/>
      <c r="H10" s="994"/>
      <c r="I10" s="994"/>
    </row>
    <row r="11" spans="1:17" s="82" customFormat="1" ht="14.25">
      <c r="G11" s="91" t="s">
        <v>1</v>
      </c>
      <c r="H11" s="82" t="s">
        <v>2</v>
      </c>
    </row>
    <row r="12" spans="1:17" s="82" customFormat="1">
      <c r="G12" s="92" t="s">
        <v>3</v>
      </c>
      <c r="H12" s="93" t="s">
        <v>4</v>
      </c>
      <c r="I12" s="93"/>
      <c r="K12" s="93"/>
    </row>
    <row r="13" spans="1:17" s="82" customFormat="1" ht="14.25">
      <c r="F13" s="94"/>
      <c r="G13" s="95" t="s">
        <v>5</v>
      </c>
      <c r="H13" s="96" t="s">
        <v>6</v>
      </c>
      <c r="I13" s="96"/>
      <c r="K13" s="96"/>
      <c r="L13" s="97"/>
      <c r="M13" s="73"/>
      <c r="N13" s="73"/>
      <c r="O13" s="73"/>
      <c r="P13" s="73"/>
      <c r="Q13" s="73"/>
    </row>
    <row r="14" spans="1:17" s="82" customFormat="1">
      <c r="F14" s="94"/>
      <c r="G14" s="92" t="s">
        <v>7</v>
      </c>
      <c r="H14" s="98">
        <v>100000</v>
      </c>
      <c r="I14" s="98"/>
      <c r="K14" s="98"/>
      <c r="L14" s="99"/>
      <c r="M14" s="73"/>
      <c r="N14" s="73"/>
      <c r="O14" s="73"/>
      <c r="Q14" s="73"/>
    </row>
    <row r="15" spans="1:17" s="82" customFormat="1">
      <c r="F15" s="94"/>
      <c r="G15" s="92" t="s">
        <v>8</v>
      </c>
      <c r="H15" s="82" t="s">
        <v>4087</v>
      </c>
      <c r="L15" s="99"/>
      <c r="M15" s="73"/>
      <c r="N15" s="73"/>
      <c r="O15" s="73"/>
      <c r="P15" s="100"/>
      <c r="Q15" s="73"/>
    </row>
    <row r="16" spans="1:17" s="82" customFormat="1" ht="14.25">
      <c r="A16" s="97"/>
      <c r="B16" s="73"/>
      <c r="C16" s="73"/>
      <c r="D16" s="73"/>
      <c r="E16" s="73"/>
      <c r="F16" s="73"/>
      <c r="G16" s="92" t="s">
        <v>10</v>
      </c>
      <c r="H16" s="82" t="s">
        <v>11</v>
      </c>
      <c r="L16" s="99"/>
      <c r="M16" s="73"/>
      <c r="N16" s="73"/>
      <c r="O16" s="73"/>
    </row>
    <row r="17" spans="1:15" s="82" customFormat="1">
      <c r="A17" s="99"/>
      <c r="B17" s="73"/>
      <c r="C17" s="73"/>
      <c r="E17" s="73"/>
      <c r="F17" s="73"/>
      <c r="G17" s="92" t="s">
        <v>12</v>
      </c>
      <c r="H17" s="82" t="s">
        <v>13</v>
      </c>
      <c r="L17" s="99"/>
      <c r="M17" s="73"/>
      <c r="N17" s="73"/>
      <c r="O17" s="73"/>
    </row>
    <row r="18" spans="1:15" s="82" customFormat="1">
      <c r="A18" s="99"/>
      <c r="B18" s="73"/>
      <c r="C18" s="73"/>
      <c r="D18" s="101"/>
      <c r="E18" s="102"/>
      <c r="F18" s="102"/>
      <c r="G18" s="92" t="s">
        <v>14</v>
      </c>
      <c r="H18" s="82" t="s">
        <v>15</v>
      </c>
    </row>
    <row r="19" spans="1:15" s="82" customFormat="1">
      <c r="F19" s="94"/>
      <c r="G19" s="92" t="s">
        <v>16</v>
      </c>
      <c r="H19" s="82" t="s">
        <v>17</v>
      </c>
    </row>
    <row r="20" spans="1:15" s="82" customFormat="1">
      <c r="F20" s="94"/>
      <c r="G20" s="92" t="s">
        <v>18</v>
      </c>
      <c r="H20" s="82" t="s">
        <v>19</v>
      </c>
    </row>
    <row r="21" spans="1:15" s="82" customFormat="1">
      <c r="F21" s="94"/>
      <c r="G21" s="92" t="s">
        <v>20</v>
      </c>
      <c r="H21" s="93" t="s">
        <v>21</v>
      </c>
      <c r="I21" s="93"/>
    </row>
    <row r="22" spans="1:15" s="82" customFormat="1" ht="14.25">
      <c r="C22" s="103"/>
      <c r="F22" s="104"/>
      <c r="G22" s="92" t="s">
        <v>22</v>
      </c>
      <c r="H22" s="82" t="s">
        <v>23</v>
      </c>
      <c r="K22" s="93"/>
    </row>
    <row r="23" spans="1:15" s="82" customFormat="1" ht="15.75" customHeight="1">
      <c r="D23" s="105"/>
      <c r="E23" s="105"/>
      <c r="F23" s="104"/>
      <c r="G23" s="92" t="s">
        <v>24</v>
      </c>
      <c r="H23" s="82" t="s">
        <v>25</v>
      </c>
    </row>
    <row r="24" spans="1:15" s="82" customFormat="1" ht="12.75" customHeight="1">
      <c r="D24" s="105"/>
      <c r="E24" s="105"/>
      <c r="F24" s="104"/>
      <c r="G24" s="92" t="s">
        <v>26</v>
      </c>
      <c r="H24" s="82" t="s">
        <v>27</v>
      </c>
    </row>
    <row r="25" spans="1:15" s="82" customFormat="1" ht="12.75" customHeight="1">
      <c r="D25" s="105"/>
      <c r="E25" s="105"/>
      <c r="F25" s="104"/>
      <c r="G25" s="92" t="s">
        <v>28</v>
      </c>
      <c r="H25" s="82" t="s">
        <v>29</v>
      </c>
    </row>
    <row r="26" spans="1:15" s="82" customFormat="1" ht="12.75" customHeight="1">
      <c r="D26" s="105"/>
      <c r="E26" s="105"/>
      <c r="F26" s="993"/>
      <c r="G26" s="964"/>
    </row>
    <row r="27" spans="1:15" s="82" customFormat="1" ht="14.25">
      <c r="A27" s="998" t="s">
        <v>30</v>
      </c>
      <c r="B27" s="964"/>
      <c r="C27" s="964"/>
      <c r="D27" s="964"/>
      <c r="E27" s="964"/>
      <c r="F27" s="964"/>
      <c r="G27" s="964"/>
      <c r="H27" s="964"/>
      <c r="I27" s="964"/>
      <c r="J27" s="964"/>
      <c r="K27" s="964"/>
      <c r="L27" s="964"/>
      <c r="M27" s="964"/>
      <c r="N27" s="964"/>
      <c r="O27" s="965"/>
    </row>
    <row r="28" spans="1:15" s="82" customFormat="1" ht="14.25">
      <c r="A28" s="999" t="s">
        <v>31</v>
      </c>
      <c r="B28" s="964"/>
      <c r="C28" s="964"/>
      <c r="D28" s="964"/>
      <c r="E28" s="964"/>
      <c r="F28" s="964"/>
      <c r="G28" s="964"/>
      <c r="H28" s="965"/>
      <c r="I28" s="1000" t="s">
        <v>32</v>
      </c>
      <c r="J28" s="964"/>
      <c r="K28" s="964"/>
      <c r="L28" s="964"/>
      <c r="M28" s="964"/>
      <c r="N28" s="964"/>
      <c r="O28" s="965"/>
    </row>
    <row r="29" spans="1:15" s="82" customFormat="1" ht="12.75" customHeight="1">
      <c r="A29" s="970" t="s">
        <v>33</v>
      </c>
      <c r="B29" s="964"/>
      <c r="C29" s="964"/>
      <c r="D29" s="964"/>
      <c r="E29" s="964" t="s">
        <v>34</v>
      </c>
      <c r="F29" s="964"/>
      <c r="G29" s="964"/>
      <c r="H29" s="106"/>
      <c r="I29" s="970" t="s">
        <v>33</v>
      </c>
      <c r="J29" s="964"/>
      <c r="K29" s="964"/>
      <c r="L29" s="964"/>
      <c r="M29" s="964" t="s">
        <v>35</v>
      </c>
      <c r="N29" s="964"/>
      <c r="O29" s="965"/>
    </row>
    <row r="30" spans="1:15" s="82" customFormat="1" ht="12.75" customHeight="1">
      <c r="A30" s="970" t="s">
        <v>36</v>
      </c>
      <c r="B30" s="964"/>
      <c r="C30" s="964"/>
      <c r="D30" s="964"/>
      <c r="E30" s="966">
        <v>0</v>
      </c>
      <c r="F30" s="966"/>
      <c r="G30" s="966"/>
      <c r="H30" s="106"/>
      <c r="I30" s="970" t="s">
        <v>36</v>
      </c>
      <c r="J30" s="964"/>
      <c r="K30" s="964"/>
      <c r="L30" s="964"/>
      <c r="M30" s="966">
        <v>120</v>
      </c>
      <c r="N30" s="966"/>
      <c r="O30" s="967"/>
    </row>
    <row r="31" spans="1:15" s="82" customFormat="1" ht="12.75" customHeight="1">
      <c r="A31" s="970" t="s">
        <v>37</v>
      </c>
      <c r="B31" s="964"/>
      <c r="C31" s="964"/>
      <c r="D31" s="964"/>
      <c r="E31" s="964" t="s">
        <v>38</v>
      </c>
      <c r="F31" s="964"/>
      <c r="G31" s="964"/>
      <c r="H31" s="106"/>
      <c r="I31" s="970" t="s">
        <v>37</v>
      </c>
      <c r="J31" s="964"/>
      <c r="K31" s="964"/>
      <c r="L31" s="964"/>
      <c r="M31" s="973" t="s">
        <v>39</v>
      </c>
      <c r="N31" s="964"/>
      <c r="O31" s="965"/>
    </row>
    <row r="32" spans="1:15" s="82" customFormat="1" ht="12.75" customHeight="1" thickBot="1">
      <c r="A32" s="968" t="s">
        <v>40</v>
      </c>
      <c r="B32" s="969"/>
      <c r="C32" s="969"/>
      <c r="D32" s="969"/>
      <c r="E32" s="974" t="s">
        <v>41</v>
      </c>
      <c r="F32" s="969"/>
      <c r="G32" s="969"/>
      <c r="H32" s="108"/>
      <c r="I32" s="968" t="s">
        <v>40</v>
      </c>
      <c r="J32" s="969"/>
      <c r="K32" s="969"/>
      <c r="L32" s="969"/>
      <c r="M32" s="974" t="s">
        <v>42</v>
      </c>
      <c r="N32" s="969"/>
      <c r="O32" s="975"/>
    </row>
    <row r="33" spans="1:16" s="82" customFormat="1" ht="12.75" customHeight="1">
      <c r="B33" s="109"/>
      <c r="C33" s="109"/>
      <c r="D33" s="105"/>
      <c r="E33" s="105"/>
      <c r="F33" s="105"/>
      <c r="G33" s="105"/>
      <c r="H33" s="105"/>
      <c r="I33" s="105"/>
      <c r="J33" s="104"/>
      <c r="K33" s="104"/>
      <c r="L33" s="110"/>
      <c r="M33" s="111"/>
      <c r="N33" s="111"/>
    </row>
    <row r="34" spans="1:16" s="82" customFormat="1" ht="12.75" customHeight="1">
      <c r="D34" s="105"/>
      <c r="E34" s="105"/>
      <c r="F34" s="112"/>
      <c r="G34" s="73"/>
      <c r="H34" s="73"/>
      <c r="I34" s="73"/>
      <c r="J34" s="73"/>
      <c r="K34" s="113"/>
      <c r="L34" s="113"/>
      <c r="M34" s="92"/>
    </row>
    <row r="35" spans="1:16" s="82" customFormat="1" ht="12.75" customHeight="1">
      <c r="D35" s="105"/>
      <c r="E35" s="105"/>
      <c r="F35" s="112"/>
      <c r="G35" s="73"/>
      <c r="H35" s="73"/>
      <c r="I35" s="73"/>
      <c r="J35" s="73"/>
      <c r="K35" s="114"/>
      <c r="L35" s="114"/>
      <c r="M35" s="92"/>
    </row>
    <row r="36" spans="1:16" s="82" customFormat="1" ht="18" customHeight="1" thickBot="1">
      <c r="C36" s="105"/>
      <c r="D36" s="104"/>
      <c r="E36" s="115"/>
      <c r="F36" s="73"/>
      <c r="G36" s="971"/>
      <c r="H36" s="972"/>
      <c r="I36" s="118"/>
      <c r="J36" s="119"/>
    </row>
    <row r="37" spans="1:16" s="82" customFormat="1" ht="15.75" customHeight="1" thickBot="1">
      <c r="F37" s="986" t="s">
        <v>43</v>
      </c>
      <c r="G37" s="987"/>
      <c r="H37" s="991" t="s">
        <v>44</v>
      </c>
      <c r="I37" s="992"/>
      <c r="J37" s="992"/>
      <c r="K37" s="982"/>
      <c r="L37" s="982"/>
      <c r="M37" s="982"/>
      <c r="N37" s="982"/>
      <c r="O37" s="983"/>
    </row>
    <row r="38" spans="1:16" s="120" customFormat="1" ht="54" customHeight="1" thickBot="1">
      <c r="A38" s="55" t="s">
        <v>45</v>
      </c>
      <c r="B38" s="55" t="s">
        <v>46</v>
      </c>
      <c r="C38" s="56" t="s">
        <v>47</v>
      </c>
      <c r="D38" s="56" t="s">
        <v>48</v>
      </c>
      <c r="E38" s="56" t="s">
        <v>49</v>
      </c>
      <c r="F38" s="56" t="s">
        <v>50</v>
      </c>
      <c r="G38" s="55" t="s">
        <v>51</v>
      </c>
      <c r="H38" s="57" t="s">
        <v>52</v>
      </c>
      <c r="I38" s="58" t="s">
        <v>51</v>
      </c>
      <c r="J38" s="57" t="s">
        <v>53</v>
      </c>
      <c r="K38" s="58" t="s">
        <v>51</v>
      </c>
      <c r="L38" s="57" t="s">
        <v>54</v>
      </c>
      <c r="M38" s="58" t="s">
        <v>51</v>
      </c>
      <c r="N38" s="57" t="s">
        <v>55</v>
      </c>
      <c r="O38" s="58" t="s">
        <v>51</v>
      </c>
    </row>
    <row r="39" spans="1:16" s="124" customFormat="1" ht="30.75" customHeight="1" thickBot="1">
      <c r="A39" s="988">
        <v>7</v>
      </c>
      <c r="B39" s="988"/>
      <c r="C39" s="59" t="s">
        <v>4080</v>
      </c>
      <c r="D39" s="121" t="s">
        <v>4081</v>
      </c>
      <c r="E39" s="122">
        <v>966.08</v>
      </c>
      <c r="F39" s="1">
        <f>SUM(E39:E40)*(1-20%)</f>
        <v>832.86400000000003</v>
      </c>
      <c r="G39" s="976">
        <f>F39*B39</f>
        <v>0</v>
      </c>
      <c r="H39" s="976">
        <f>F39*0.0845</f>
        <v>70.377008000000004</v>
      </c>
      <c r="I39" s="976">
        <f>H39*B39</f>
        <v>0</v>
      </c>
      <c r="J39" s="976">
        <f>F39*0.032</f>
        <v>26.651648000000002</v>
      </c>
      <c r="K39" s="976">
        <f>J39*B39</f>
        <v>0</v>
      </c>
      <c r="L39" s="976">
        <f>F39*0.0263</f>
        <v>21.9043232</v>
      </c>
      <c r="M39" s="976">
        <f>L39*B39</f>
        <v>0</v>
      </c>
      <c r="N39" s="976">
        <f>F39*0.0219</f>
        <v>18.239721599999999</v>
      </c>
      <c r="O39" s="976">
        <f>N39*B39</f>
        <v>0</v>
      </c>
      <c r="P39" s="123"/>
    </row>
    <row r="40" spans="1:16" s="120" customFormat="1" ht="13.5" thickBot="1">
      <c r="A40" s="989"/>
      <c r="B40" s="990"/>
      <c r="C40" s="63" t="s">
        <v>56</v>
      </c>
      <c r="D40" s="64" t="s">
        <v>57</v>
      </c>
      <c r="E40" s="65">
        <v>75</v>
      </c>
      <c r="F40" s="748" t="s">
        <v>35</v>
      </c>
      <c r="G40" s="977"/>
      <c r="H40" s="978"/>
      <c r="I40" s="977"/>
      <c r="J40" s="978"/>
      <c r="K40" s="977"/>
      <c r="L40" s="978"/>
      <c r="M40" s="977"/>
      <c r="N40" s="978"/>
      <c r="O40" s="977"/>
    </row>
    <row r="41" spans="1:16" s="125" customFormat="1" ht="13.5" thickBot="1">
      <c r="A41" s="66"/>
      <c r="B41" s="67"/>
      <c r="C41" s="68"/>
      <c r="D41" s="69"/>
      <c r="E41" s="70"/>
      <c r="F41" s="749"/>
      <c r="G41" s="67"/>
      <c r="H41" s="750"/>
      <c r="I41" s="67"/>
      <c r="J41" s="750"/>
      <c r="K41" s="71"/>
      <c r="L41" s="750"/>
      <c r="M41" s="67"/>
      <c r="N41" s="750"/>
      <c r="O41" s="71"/>
    </row>
    <row r="42" spans="1:16" s="124" customFormat="1" ht="30.75" customHeight="1" thickBot="1">
      <c r="A42" s="988" t="s">
        <v>58</v>
      </c>
      <c r="B42" s="988"/>
      <c r="C42" s="59" t="s">
        <v>4080</v>
      </c>
      <c r="D42" s="121" t="s">
        <v>4081</v>
      </c>
      <c r="E42" s="122">
        <v>966.08</v>
      </c>
      <c r="F42" s="1">
        <f>SUM(E42:E43)*(1-20%)</f>
        <v>832.86400000000003</v>
      </c>
      <c r="G42" s="976">
        <f>F42*B42</f>
        <v>0</v>
      </c>
      <c r="H42" s="976">
        <f>F42*0.0845+M30/12</f>
        <v>80.377008000000004</v>
      </c>
      <c r="I42" s="976">
        <f>H42*B42</f>
        <v>0</v>
      </c>
      <c r="J42" s="976">
        <f>F42*0.032+M30/12</f>
        <v>36.651648000000002</v>
      </c>
      <c r="K42" s="976">
        <f>J42*B42</f>
        <v>0</v>
      </c>
      <c r="L42" s="976">
        <f>F42*0.0263+M30/12</f>
        <v>31.9043232</v>
      </c>
      <c r="M42" s="976">
        <f>L42*B42</f>
        <v>0</v>
      </c>
      <c r="N42" s="976">
        <f>F42*0.0219+M30/12</f>
        <v>28.239721599999999</v>
      </c>
      <c r="O42" s="976">
        <f>N42*B42</f>
        <v>0</v>
      </c>
      <c r="P42" s="123"/>
    </row>
    <row r="43" spans="1:16" s="120" customFormat="1" ht="13.5" thickBot="1">
      <c r="A43" s="989"/>
      <c r="B43" s="990"/>
      <c r="C43" s="63" t="s">
        <v>56</v>
      </c>
      <c r="D43" s="64" t="s">
        <v>57</v>
      </c>
      <c r="E43" s="65">
        <v>75</v>
      </c>
      <c r="F43" s="748" t="s">
        <v>35</v>
      </c>
      <c r="G43" s="977"/>
      <c r="H43" s="978"/>
      <c r="I43" s="977"/>
      <c r="J43" s="978"/>
      <c r="K43" s="977"/>
      <c r="L43" s="978"/>
      <c r="M43" s="977"/>
      <c r="N43" s="978"/>
      <c r="O43" s="977"/>
    </row>
    <row r="44" spans="1:16" s="125" customFormat="1" ht="13.5" customHeight="1" thickBot="1">
      <c r="A44" s="981" t="s">
        <v>59</v>
      </c>
      <c r="B44" s="982"/>
      <c r="C44" s="982"/>
      <c r="D44" s="982"/>
      <c r="E44" s="982"/>
      <c r="F44" s="982"/>
      <c r="G44" s="982"/>
      <c r="H44" s="982"/>
      <c r="I44" s="982"/>
      <c r="J44" s="982"/>
      <c r="K44" s="982"/>
      <c r="L44" s="982"/>
      <c r="M44" s="982"/>
      <c r="N44" s="982"/>
      <c r="O44" s="983"/>
    </row>
    <row r="45" spans="1:16" s="120" customFormat="1" ht="13.5" thickBot="1">
      <c r="A45" s="984"/>
      <c r="B45" s="127"/>
      <c r="C45" s="63" t="s">
        <v>77</v>
      </c>
      <c r="D45" s="366" t="s">
        <v>78</v>
      </c>
      <c r="E45" s="751">
        <v>361</v>
      </c>
      <c r="F45" s="3">
        <f>E45*(1-20%)</f>
        <v>288.8</v>
      </c>
      <c r="G45" s="3">
        <f>F45*B45</f>
        <v>0</v>
      </c>
      <c r="H45" s="26">
        <f>F45*0.0845</f>
        <v>24.403600000000001</v>
      </c>
      <c r="I45" s="27">
        <f>H45*B45</f>
        <v>0</v>
      </c>
      <c r="J45" s="26">
        <f>F45*0.032</f>
        <v>9.2416</v>
      </c>
      <c r="K45" s="27">
        <f>J45*B45</f>
        <v>0</v>
      </c>
      <c r="L45" s="26">
        <f>F45*0.0263</f>
        <v>7.5954400000000009</v>
      </c>
      <c r="M45" s="26">
        <f>L45*B45</f>
        <v>0</v>
      </c>
      <c r="N45" s="26">
        <f>F45*0.0219</f>
        <v>6.3247200000000001</v>
      </c>
      <c r="O45" s="26">
        <f>N45*B45</f>
        <v>0</v>
      </c>
      <c r="P45" s="505"/>
    </row>
    <row r="46" spans="1:16" s="120" customFormat="1" ht="13.5" thickBot="1">
      <c r="A46" s="984"/>
      <c r="B46" s="127"/>
      <c r="C46" s="63" t="s">
        <v>61</v>
      </c>
      <c r="D46" s="366" t="s">
        <v>62</v>
      </c>
      <c r="E46" s="751">
        <v>200.55</v>
      </c>
      <c r="F46" s="3">
        <f>E46*(1-20%)</f>
        <v>160.44000000000003</v>
      </c>
      <c r="G46" s="3">
        <f>F46*B46</f>
        <v>0</v>
      </c>
      <c r="H46" s="26">
        <f>F46*0.0845</f>
        <v>13.557180000000002</v>
      </c>
      <c r="I46" s="27">
        <f>H46*B46</f>
        <v>0</v>
      </c>
      <c r="J46" s="26">
        <f>F46*0.032</f>
        <v>5.1340800000000009</v>
      </c>
      <c r="K46" s="27">
        <f>J46*B46</f>
        <v>0</v>
      </c>
      <c r="L46" s="26">
        <f>F46*0.0263</f>
        <v>4.2195720000000003</v>
      </c>
      <c r="M46" s="26">
        <f>L46*B46</f>
        <v>0</v>
      </c>
      <c r="N46" s="26">
        <f>F46*0.0219</f>
        <v>3.5136360000000004</v>
      </c>
      <c r="O46" s="26">
        <f>N46*B46</f>
        <v>0</v>
      </c>
      <c r="P46" s="505"/>
    </row>
    <row r="47" spans="1:16" s="120" customFormat="1" ht="13.5" thickBot="1">
      <c r="A47" s="985"/>
      <c r="B47" s="127"/>
      <c r="C47" s="63" t="s">
        <v>63</v>
      </c>
      <c r="D47" s="366" t="s">
        <v>64</v>
      </c>
      <c r="E47" s="751">
        <v>304.5</v>
      </c>
      <c r="F47" s="3">
        <f>E47*(1-20%)</f>
        <v>243.60000000000002</v>
      </c>
      <c r="G47" s="3">
        <f>F47*B47</f>
        <v>0</v>
      </c>
      <c r="H47" s="26">
        <f>F47*0.0845</f>
        <v>20.584200000000003</v>
      </c>
      <c r="I47" s="27">
        <f>H47*B47</f>
        <v>0</v>
      </c>
      <c r="J47" s="26">
        <f>F47*0.032</f>
        <v>7.7952000000000012</v>
      </c>
      <c r="K47" s="27">
        <f>J47*B47</f>
        <v>0</v>
      </c>
      <c r="L47" s="26">
        <f>F47*0.0263</f>
        <v>6.4066800000000006</v>
      </c>
      <c r="M47" s="26">
        <f>L47*B47</f>
        <v>0</v>
      </c>
      <c r="N47" s="26">
        <f>F47*0.0219</f>
        <v>5.3348400000000007</v>
      </c>
      <c r="O47" s="26">
        <f>N47*B47</f>
        <v>0</v>
      </c>
      <c r="P47" s="505"/>
    </row>
    <row r="48" spans="1:16" s="128" customFormat="1" ht="15">
      <c r="B48" s="129"/>
      <c r="C48" s="129"/>
      <c r="D48" s="979" t="s">
        <v>65</v>
      </c>
      <c r="E48" s="972"/>
      <c r="F48" s="980"/>
      <c r="G48" s="752">
        <f t="array" ref="G48">SUM(G45:G47)+G39:G44:G47+G42</f>
        <v>0</v>
      </c>
      <c r="H48" s="112" t="s">
        <v>66</v>
      </c>
      <c r="I48" s="752">
        <f t="array" ref="I48">SUM(I45:I47)+I39:I44:I47+I42</f>
        <v>0</v>
      </c>
      <c r="J48" s="112" t="s">
        <v>67</v>
      </c>
      <c r="K48" s="752">
        <f t="array" ref="K48">SUM(K45:K47)+K39:K44:K47+K42</f>
        <v>0</v>
      </c>
      <c r="L48" s="112" t="s">
        <v>68</v>
      </c>
      <c r="M48" s="752">
        <f t="array" ref="M48">SUM(M45:M47)+M39:M44:M47+M42</f>
        <v>0</v>
      </c>
      <c r="N48" s="112" t="s">
        <v>69</v>
      </c>
      <c r="O48" s="752">
        <f t="array" ref="O48">SUM(O45:O47)+O39:O44:O47+O42</f>
        <v>0</v>
      </c>
    </row>
    <row r="53" spans="2:6" ht="15.75">
      <c r="C53" s="90"/>
      <c r="D53" s="104"/>
      <c r="E53" s="131"/>
      <c r="F53" s="131"/>
    </row>
    <row r="54" spans="2:6" ht="15.75">
      <c r="C54" s="90"/>
      <c r="D54" s="104"/>
      <c r="E54" s="131"/>
      <c r="F54" s="131"/>
    </row>
    <row r="55" spans="2:6" ht="15.75">
      <c r="C55" s="90"/>
      <c r="D55" s="104"/>
      <c r="E55" s="131"/>
      <c r="F55" s="131"/>
    </row>
    <row r="56" spans="2:6" ht="15.75">
      <c r="C56" s="90"/>
      <c r="D56" s="104"/>
      <c r="E56" s="131"/>
      <c r="F56" s="131"/>
    </row>
    <row r="57" spans="2:6" ht="15.75">
      <c r="C57" s="90"/>
      <c r="D57" s="104"/>
      <c r="E57" s="131"/>
      <c r="F57" s="131"/>
    </row>
    <row r="58" spans="2:6" ht="15.75">
      <c r="C58" s="90"/>
      <c r="D58" s="104"/>
      <c r="E58" s="131"/>
      <c r="F58" s="131"/>
    </row>
    <row r="62" spans="2:6">
      <c r="B62" s="75"/>
      <c r="C62" s="75"/>
    </row>
  </sheetData>
  <mergeCells count="51">
    <mergeCell ref="F26:G26"/>
    <mergeCell ref="F10:I10"/>
    <mergeCell ref="A4:O4"/>
    <mergeCell ref="A5:O5"/>
    <mergeCell ref="A39:A40"/>
    <mergeCell ref="B39:B40"/>
    <mergeCell ref="G39:G40"/>
    <mergeCell ref="E29:G29"/>
    <mergeCell ref="E30:G30"/>
    <mergeCell ref="E31:G31"/>
    <mergeCell ref="A27:O27"/>
    <mergeCell ref="A28:H28"/>
    <mergeCell ref="I28:O28"/>
    <mergeCell ref="A29:D29"/>
    <mergeCell ref="A30:D30"/>
    <mergeCell ref="E32:G32"/>
    <mergeCell ref="D48:F48"/>
    <mergeCell ref="L42:L43"/>
    <mergeCell ref="A44:O44"/>
    <mergeCell ref="A45:A47"/>
    <mergeCell ref="F37:G37"/>
    <mergeCell ref="M42:M43"/>
    <mergeCell ref="H39:H40"/>
    <mergeCell ref="M39:M40"/>
    <mergeCell ref="A42:A43"/>
    <mergeCell ref="B42:B43"/>
    <mergeCell ref="H37:O37"/>
    <mergeCell ref="G42:G43"/>
    <mergeCell ref="H42:H43"/>
    <mergeCell ref="L39:L40"/>
    <mergeCell ref="I42:I43"/>
    <mergeCell ref="J42:J43"/>
    <mergeCell ref="K42:K43"/>
    <mergeCell ref="N39:N40"/>
    <mergeCell ref="O39:O40"/>
    <mergeCell ref="N42:N43"/>
    <mergeCell ref="O42:O43"/>
    <mergeCell ref="I39:I40"/>
    <mergeCell ref="J39:J40"/>
    <mergeCell ref="K39:K40"/>
    <mergeCell ref="I29:L29"/>
    <mergeCell ref="I30:L30"/>
    <mergeCell ref="M29:O29"/>
    <mergeCell ref="M30:O30"/>
    <mergeCell ref="A32:D32"/>
    <mergeCell ref="A31:D31"/>
    <mergeCell ref="G36:H36"/>
    <mergeCell ref="I31:L31"/>
    <mergeCell ref="I32:L32"/>
    <mergeCell ref="M31:O31"/>
    <mergeCell ref="M32:O32"/>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ignoredErrors>
    <ignoredError sqref="F45:G45 G40:O41 F40:F41 F47:G47 F43 G39 I39 G43:O43 G42 I42 K39 K42 M39 M42 O39 O42 I45 F46:G46 I46 I47 K45 K46 K47 M45 M46 M47 O45 O46 O47"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DAF7F-63BB-4730-A2F7-F59BCB9948BF}">
  <sheetPr>
    <tabColor indexed="62"/>
  </sheetPr>
  <dimension ref="A1:P118"/>
  <sheetViews>
    <sheetView topLeftCell="C1" zoomScale="90" zoomScaleNormal="90" workbookViewId="0">
      <selection activeCell="D47" sqref="D47"/>
    </sheetView>
  </sheetViews>
  <sheetFormatPr defaultColWidth="8.85546875" defaultRowHeight="12.75"/>
  <cols>
    <col min="1" max="1" width="14.140625" style="256" customWidth="1"/>
    <col min="2" max="2" width="10.5703125" style="256" customWidth="1"/>
    <col min="3" max="3" width="18" style="256" customWidth="1"/>
    <col min="4" max="4" width="44.42578125" style="256" customWidth="1"/>
    <col min="5" max="5" width="15.7109375" style="256" customWidth="1"/>
    <col min="6" max="6" width="13.85546875" style="333" customWidth="1"/>
    <col min="7" max="7" width="15.7109375" style="256" customWidth="1"/>
    <col min="8" max="8" width="22.85546875" style="256" customWidth="1"/>
    <col min="9" max="10" width="23" style="256" customWidth="1"/>
    <col min="11" max="11" width="22.28515625" style="256" customWidth="1"/>
    <col min="12" max="12" width="25.28515625" style="256" customWidth="1"/>
    <col min="13" max="13" width="23" style="256" customWidth="1"/>
    <col min="14" max="14" width="23.5703125" style="256" customWidth="1"/>
    <col min="15" max="15" width="21" style="256" customWidth="1"/>
    <col min="16" max="16" width="12.42578125" style="256" customWidth="1"/>
    <col min="17" max="16384" width="8.85546875" style="256"/>
  </cols>
  <sheetData>
    <row r="1" spans="1:16" ht="13.5" thickBot="1">
      <c r="C1" s="257"/>
      <c r="D1" s="258"/>
      <c r="E1" s="258"/>
      <c r="F1" s="259"/>
      <c r="G1" s="259"/>
      <c r="H1" s="259"/>
      <c r="I1" s="259"/>
      <c r="J1" s="259"/>
      <c r="K1" s="259"/>
      <c r="L1" s="259"/>
    </row>
    <row r="2" spans="1:16" ht="9" customHeight="1">
      <c r="A2" s="260"/>
      <c r="B2" s="260"/>
      <c r="C2" s="261"/>
      <c r="D2" s="262"/>
      <c r="E2" s="262"/>
      <c r="F2" s="263"/>
      <c r="G2" s="264"/>
      <c r="H2" s="263"/>
      <c r="I2" s="264"/>
      <c r="J2" s="264"/>
      <c r="K2" s="264"/>
      <c r="L2" s="264"/>
      <c r="M2" s="260"/>
      <c r="N2" s="260"/>
      <c r="O2" s="260"/>
    </row>
    <row r="3" spans="1:16" ht="10.5" customHeight="1">
      <c r="C3" s="257"/>
      <c r="D3" s="258"/>
      <c r="E3" s="258"/>
      <c r="F3" s="259"/>
      <c r="G3" s="265"/>
      <c r="H3" s="259"/>
      <c r="I3" s="265"/>
      <c r="J3" s="265"/>
      <c r="K3" s="265"/>
      <c r="L3" s="265"/>
    </row>
    <row r="4" spans="1:16" ht="30">
      <c r="A4" s="1043" t="s">
        <v>342</v>
      </c>
      <c r="B4" s="1020"/>
      <c r="C4" s="1020"/>
      <c r="D4" s="1020"/>
      <c r="E4" s="1020"/>
      <c r="F4" s="1020"/>
      <c r="G4" s="1020"/>
      <c r="H4" s="1020"/>
      <c r="I4" s="1020"/>
      <c r="J4" s="1020"/>
      <c r="K4" s="1020"/>
      <c r="L4" s="1020"/>
      <c r="M4" s="1020"/>
      <c r="N4" s="1020"/>
      <c r="O4" s="1020"/>
    </row>
    <row r="5" spans="1:16" s="266" customFormat="1" ht="38.25" customHeight="1">
      <c r="A5" s="1044" t="s">
        <v>227</v>
      </c>
      <c r="B5" s="1110"/>
      <c r="C5" s="1110"/>
      <c r="D5" s="1110"/>
      <c r="E5" s="1110"/>
      <c r="F5" s="1110"/>
      <c r="G5" s="1110"/>
      <c r="H5" s="1110"/>
      <c r="I5" s="1110"/>
      <c r="J5" s="1110"/>
      <c r="K5" s="1110"/>
      <c r="L5" s="1110"/>
      <c r="M5" s="1110"/>
      <c r="N5" s="1110"/>
      <c r="O5" s="1110"/>
      <c r="P5" s="256"/>
    </row>
    <row r="6" spans="1:16" ht="9" customHeight="1" thickBot="1">
      <c r="A6" s="542"/>
      <c r="B6" s="542"/>
      <c r="C6" s="542"/>
      <c r="D6" s="542"/>
      <c r="E6" s="542"/>
      <c r="F6" s="542"/>
      <c r="G6" s="542"/>
      <c r="H6" s="542"/>
      <c r="I6" s="542"/>
      <c r="J6" s="542"/>
      <c r="K6" s="542"/>
      <c r="L6" s="542"/>
      <c r="M6" s="542"/>
      <c r="N6" s="542"/>
      <c r="O6" s="542"/>
    </row>
    <row r="8" spans="1:16" s="265" customFormat="1" ht="14.25">
      <c r="C8" s="268"/>
      <c r="D8" s="269"/>
      <c r="E8" s="269"/>
      <c r="F8" s="269"/>
      <c r="G8" s="269"/>
      <c r="H8" s="269"/>
      <c r="I8" s="269"/>
      <c r="J8" s="269"/>
      <c r="K8" s="269"/>
      <c r="L8" s="269"/>
      <c r="M8" s="269"/>
      <c r="N8" s="269"/>
    </row>
    <row r="9" spans="1:16" s="265" customFormat="1" ht="14.25">
      <c r="F9" s="446"/>
      <c r="G9" s="446"/>
      <c r="H9" s="1046" t="s">
        <v>0</v>
      </c>
      <c r="I9" s="1046"/>
      <c r="J9" s="1046"/>
      <c r="K9" s="507"/>
      <c r="L9" s="507"/>
    </row>
    <row r="10" spans="1:16" s="265" customFormat="1" ht="14.25">
      <c r="H10" s="275" t="s">
        <v>1</v>
      </c>
      <c r="I10" s="265" t="s">
        <v>179</v>
      </c>
    </row>
    <row r="11" spans="1:16" s="265" customFormat="1">
      <c r="G11" s="282"/>
      <c r="H11" s="270" t="s">
        <v>3</v>
      </c>
      <c r="I11" s="282" t="s">
        <v>228</v>
      </c>
      <c r="J11" s="282"/>
      <c r="L11" s="282"/>
    </row>
    <row r="12" spans="1:16" s="265" customFormat="1">
      <c r="F12" s="446"/>
      <c r="G12" s="282"/>
      <c r="H12" s="270" t="s">
        <v>7</v>
      </c>
      <c r="I12" s="556">
        <v>175000</v>
      </c>
      <c r="J12" s="282"/>
      <c r="L12" s="282"/>
    </row>
    <row r="13" spans="1:16" s="265" customFormat="1">
      <c r="F13" s="446"/>
      <c r="H13" s="270" t="s">
        <v>8</v>
      </c>
      <c r="I13" s="265" t="s">
        <v>343</v>
      </c>
    </row>
    <row r="14" spans="1:16" s="265" customFormat="1">
      <c r="F14" s="446"/>
      <c r="H14" s="270" t="s">
        <v>10</v>
      </c>
      <c r="I14" s="265" t="s">
        <v>182</v>
      </c>
    </row>
    <row r="15" spans="1:16" s="265" customFormat="1">
      <c r="C15" s="508"/>
      <c r="F15" s="302"/>
      <c r="H15" s="270" t="s">
        <v>183</v>
      </c>
      <c r="I15" s="265" t="s">
        <v>344</v>
      </c>
    </row>
    <row r="16" spans="1:16" s="265" customFormat="1">
      <c r="F16" s="446"/>
      <c r="H16" s="270" t="s">
        <v>185</v>
      </c>
      <c r="I16" s="265" t="s">
        <v>345</v>
      </c>
    </row>
    <row r="17" spans="1:16" s="265" customFormat="1">
      <c r="H17" s="270" t="s">
        <v>14</v>
      </c>
      <c r="I17" s="265" t="s">
        <v>15</v>
      </c>
    </row>
    <row r="18" spans="1:16" s="265" customFormat="1">
      <c r="F18" s="446"/>
      <c r="I18" s="265" t="s">
        <v>187</v>
      </c>
    </row>
    <row r="19" spans="1:16" s="265" customFormat="1">
      <c r="F19" s="446"/>
      <c r="I19" s="265" t="s">
        <v>188</v>
      </c>
    </row>
    <row r="20" spans="1:16" s="265" customFormat="1">
      <c r="F20" s="446"/>
      <c r="H20" s="270" t="s">
        <v>16</v>
      </c>
      <c r="I20" s="265" t="s">
        <v>232</v>
      </c>
    </row>
    <row r="21" spans="1:16" s="265" customFormat="1">
      <c r="F21" s="446"/>
      <c r="H21" s="270" t="s">
        <v>18</v>
      </c>
      <c r="I21" s="265" t="s">
        <v>190</v>
      </c>
    </row>
    <row r="22" spans="1:16" s="265" customFormat="1">
      <c r="F22" s="446"/>
      <c r="G22" s="282"/>
      <c r="H22" s="270" t="s">
        <v>20</v>
      </c>
      <c r="I22" s="282" t="s">
        <v>233</v>
      </c>
      <c r="J22" s="282"/>
      <c r="L22" s="282"/>
    </row>
    <row r="23" spans="1:16" s="265" customFormat="1" ht="15.75" customHeight="1">
      <c r="D23" s="1047"/>
      <c r="E23" s="277"/>
      <c r="F23" s="283"/>
      <c r="H23" s="270" t="s">
        <v>22</v>
      </c>
      <c r="I23" s="265" t="s">
        <v>234</v>
      </c>
    </row>
    <row r="24" spans="1:16" s="265" customFormat="1" ht="12.75" customHeight="1">
      <c r="D24" s="1047"/>
      <c r="E24" s="277"/>
      <c r="F24" s="283"/>
      <c r="H24" s="270" t="s">
        <v>24</v>
      </c>
      <c r="I24" s="265" t="s">
        <v>235</v>
      </c>
    </row>
    <row r="25" spans="1:16" s="265" customFormat="1" ht="12.75" customHeight="1">
      <c r="D25" s="277"/>
      <c r="E25" s="277"/>
      <c r="F25" s="283"/>
      <c r="H25" s="270" t="s">
        <v>26</v>
      </c>
      <c r="I25" s="265" t="s">
        <v>236</v>
      </c>
    </row>
    <row r="26" spans="1:16" s="265" customFormat="1" ht="12.75" customHeight="1">
      <c r="D26" s="277"/>
      <c r="E26" s="277"/>
      <c r="F26" s="283"/>
      <c r="H26" s="270" t="s">
        <v>28</v>
      </c>
      <c r="I26" s="265" t="s">
        <v>237</v>
      </c>
    </row>
    <row r="27" spans="1:16" s="265" customFormat="1" ht="15" thickBot="1">
      <c r="A27" s="1111" t="s">
        <v>30</v>
      </c>
      <c r="B27" s="1167"/>
      <c r="C27" s="1167"/>
      <c r="D27" s="1167"/>
      <c r="E27" s="1167"/>
      <c r="F27" s="1167"/>
      <c r="G27" s="1167"/>
      <c r="H27" s="1167"/>
      <c r="I27" s="1167"/>
      <c r="J27" s="1167"/>
      <c r="K27" s="1167"/>
      <c r="L27" s="1167"/>
      <c r="M27" s="1167"/>
      <c r="N27" s="1167"/>
      <c r="O27" s="1167"/>
      <c r="P27" s="256"/>
    </row>
    <row r="28" spans="1:16" s="265" customFormat="1" ht="14.25">
      <c r="A28" s="1105" t="s">
        <v>346</v>
      </c>
      <c r="B28" s="1106"/>
      <c r="C28" s="1106"/>
      <c r="D28" s="1107"/>
      <c r="E28" s="1108" t="s">
        <v>347</v>
      </c>
      <c r="F28" s="1168"/>
      <c r="G28" s="1168"/>
      <c r="H28" s="1168"/>
      <c r="I28" s="1168"/>
      <c r="J28" s="1169"/>
      <c r="K28" s="1105" t="s">
        <v>348</v>
      </c>
      <c r="L28" s="1106"/>
      <c r="M28" s="1106"/>
      <c r="N28" s="1106"/>
      <c r="O28" s="1107"/>
      <c r="P28" s="256"/>
    </row>
    <row r="29" spans="1:16" s="265" customFormat="1" ht="12.75" customHeight="1">
      <c r="A29" s="1028" t="s">
        <v>33</v>
      </c>
      <c r="B29" s="1029"/>
      <c r="C29" s="1029"/>
      <c r="D29" s="279" t="s">
        <v>34</v>
      </c>
      <c r="E29" s="1028" t="s">
        <v>33</v>
      </c>
      <c r="F29" s="1029"/>
      <c r="G29" s="1029"/>
      <c r="H29" s="1029"/>
      <c r="I29" s="1093" t="s">
        <v>35</v>
      </c>
      <c r="J29" s="1117"/>
      <c r="K29" s="1028" t="s">
        <v>33</v>
      </c>
      <c r="L29" s="1029"/>
      <c r="M29" s="1029"/>
      <c r="N29" s="1095" t="s">
        <v>35</v>
      </c>
      <c r="O29" s="1096"/>
    </row>
    <row r="30" spans="1:16" s="265" customFormat="1" ht="12.75" customHeight="1">
      <c r="A30" s="1028" t="s">
        <v>199</v>
      </c>
      <c r="B30" s="1029"/>
      <c r="C30" s="1029"/>
      <c r="D30" s="280">
        <v>0</v>
      </c>
      <c r="E30" s="1028" t="s">
        <v>199</v>
      </c>
      <c r="F30" s="1029"/>
      <c r="G30" s="1029"/>
      <c r="H30" s="1029"/>
      <c r="I30" s="1102">
        <v>655</v>
      </c>
      <c r="J30" s="1170"/>
      <c r="K30" s="1028" t="s">
        <v>199</v>
      </c>
      <c r="L30" s="1029"/>
      <c r="M30" s="1029"/>
      <c r="N30" s="1103">
        <v>786</v>
      </c>
      <c r="O30" s="1104"/>
      <c r="P30" s="273"/>
    </row>
    <row r="31" spans="1:16" s="265" customFormat="1" ht="12.75" customHeight="1">
      <c r="A31" s="1028" t="s">
        <v>37</v>
      </c>
      <c r="B31" s="1029"/>
      <c r="C31" s="1029"/>
      <c r="D31" s="279" t="s">
        <v>38</v>
      </c>
      <c r="E31" s="1028" t="s">
        <v>37</v>
      </c>
      <c r="F31" s="1029"/>
      <c r="G31" s="1029"/>
      <c r="H31" s="1029"/>
      <c r="I31" s="1093" t="s">
        <v>349</v>
      </c>
      <c r="J31" s="1117"/>
      <c r="K31" s="1028" t="s">
        <v>37</v>
      </c>
      <c r="L31" s="1029"/>
      <c r="M31" s="1029"/>
      <c r="N31" s="1095" t="s">
        <v>350</v>
      </c>
      <c r="O31" s="1096"/>
    </row>
    <row r="32" spans="1:16" s="265" customFormat="1" ht="12.75" customHeight="1" thickBot="1">
      <c r="A32" s="1031" t="s">
        <v>202</v>
      </c>
      <c r="B32" s="1032"/>
      <c r="C32" s="1032"/>
      <c r="D32" s="281" t="s">
        <v>203</v>
      </c>
      <c r="E32" s="1031" t="s">
        <v>204</v>
      </c>
      <c r="F32" s="1032"/>
      <c r="G32" s="1032"/>
      <c r="H32" s="1032"/>
      <c r="I32" s="1097" t="s">
        <v>351</v>
      </c>
      <c r="J32" s="1116"/>
      <c r="K32" s="1031" t="s">
        <v>40</v>
      </c>
      <c r="L32" s="1032"/>
      <c r="M32" s="1032"/>
      <c r="N32" s="1099" t="s">
        <v>351</v>
      </c>
      <c r="O32" s="1100"/>
    </row>
    <row r="33" spans="1:16" s="265" customFormat="1" ht="12.75" customHeight="1">
      <c r="D33" s="277"/>
      <c r="E33" s="277"/>
      <c r="F33" s="283"/>
      <c r="H33" s="270"/>
    </row>
    <row r="34" spans="1:16" s="265" customFormat="1" ht="12.75" customHeight="1">
      <c r="C34" s="577"/>
      <c r="D34" s="277"/>
      <c r="E34" s="277"/>
      <c r="F34" s="283"/>
      <c r="G34" s="283"/>
      <c r="H34" s="283"/>
      <c r="I34" s="1059"/>
      <c r="J34" s="1059"/>
      <c r="K34" s="1059"/>
      <c r="L34" s="447"/>
    </row>
    <row r="35" spans="1:16" s="265" customFormat="1" ht="12.75" customHeight="1">
      <c r="A35" s="1038"/>
      <c r="B35" s="1020"/>
      <c r="C35" s="1020"/>
      <c r="D35" s="1020"/>
      <c r="E35" s="277"/>
      <c r="F35" s="283"/>
      <c r="G35" s="283"/>
      <c r="H35" s="283"/>
      <c r="I35" s="1059"/>
      <c r="J35" s="1059"/>
      <c r="K35" s="1059"/>
      <c r="L35" s="447"/>
    </row>
    <row r="36" spans="1:16" s="265" customFormat="1" ht="12.75" customHeight="1">
      <c r="A36" s="1029"/>
      <c r="B36" s="1020"/>
      <c r="C36" s="1020"/>
      <c r="E36" s="277"/>
      <c r="F36" s="283"/>
      <c r="G36" s="283"/>
      <c r="H36" s="283"/>
      <c r="I36" s="1059"/>
      <c r="J36" s="1059"/>
      <c r="K36" s="1059"/>
      <c r="L36" s="447"/>
    </row>
    <row r="37" spans="1:16" s="265" customFormat="1" ht="12.75" customHeight="1" thickBot="1">
      <c r="A37" s="1029"/>
      <c r="B37" s="1020"/>
      <c r="C37" s="1020"/>
      <c r="E37" s="277"/>
      <c r="F37" s="283"/>
      <c r="G37" s="288"/>
      <c r="I37" s="288"/>
      <c r="J37" s="288"/>
      <c r="K37" s="288"/>
      <c r="L37" s="288"/>
    </row>
    <row r="38" spans="1:16" s="265" customFormat="1" ht="15.75" customHeight="1" thickBot="1">
      <c r="A38" s="1032"/>
      <c r="B38" s="1033"/>
      <c r="C38" s="1033"/>
      <c r="D38" s="576"/>
      <c r="F38" s="1063" t="s">
        <v>43</v>
      </c>
      <c r="G38" s="1101"/>
      <c r="H38" s="1022"/>
      <c r="I38" s="1023" t="s">
        <v>44</v>
      </c>
      <c r="J38" s="1003"/>
      <c r="K38" s="1003"/>
      <c r="L38" s="1003"/>
      <c r="M38" s="1003"/>
      <c r="N38" s="1003"/>
      <c r="O38" s="1025"/>
      <c r="P38" s="256"/>
    </row>
    <row r="39" spans="1:16" s="291" customFormat="1" ht="58.5" customHeight="1" thickBot="1">
      <c r="A39" s="289" t="s">
        <v>45</v>
      </c>
      <c r="B39" s="289" t="s">
        <v>46</v>
      </c>
      <c r="C39" s="579" t="s">
        <v>47</v>
      </c>
      <c r="D39" s="290" t="s">
        <v>48</v>
      </c>
      <c r="E39" s="290" t="s">
        <v>49</v>
      </c>
      <c r="F39" s="290" t="s">
        <v>50</v>
      </c>
      <c r="G39" s="289" t="s">
        <v>51</v>
      </c>
      <c r="H39" s="290" t="s">
        <v>52</v>
      </c>
      <c r="I39" s="289" t="s">
        <v>51</v>
      </c>
      <c r="J39" s="290" t="s">
        <v>53</v>
      </c>
      <c r="K39" s="289" t="s">
        <v>51</v>
      </c>
      <c r="L39" s="290" t="s">
        <v>54</v>
      </c>
      <c r="M39" s="289" t="s">
        <v>51</v>
      </c>
      <c r="N39" s="290" t="s">
        <v>55</v>
      </c>
      <c r="O39" s="289" t="s">
        <v>51</v>
      </c>
    </row>
    <row r="40" spans="1:16" s="557" customFormat="1" ht="29.25" customHeight="1" thickBot="1">
      <c r="A40" s="1089">
        <v>12</v>
      </c>
      <c r="B40" s="1089"/>
      <c r="C40" s="580" t="s">
        <v>352</v>
      </c>
      <c r="D40" s="581" t="s">
        <v>353</v>
      </c>
      <c r="E40" s="582">
        <v>14529.9</v>
      </c>
      <c r="F40" s="30">
        <f>SUM(E40:E42)*(1-74%)</f>
        <v>3870.5940000000001</v>
      </c>
      <c r="G40" s="1011">
        <f>F40*B40</f>
        <v>0</v>
      </c>
      <c r="H40" s="30">
        <f>F40*0.0845</f>
        <v>327.06519300000002</v>
      </c>
      <c r="I40" s="1011">
        <f>H40*B40</f>
        <v>0</v>
      </c>
      <c r="J40" s="30">
        <f>F40*0.032</f>
        <v>123.859008</v>
      </c>
      <c r="K40" s="1011">
        <f>J40*B40</f>
        <v>0</v>
      </c>
      <c r="L40" s="30">
        <f>F40*0.0263</f>
        <v>101.7966222</v>
      </c>
      <c r="M40" s="1011">
        <f>L40*B40</f>
        <v>0</v>
      </c>
      <c r="N40" s="30">
        <f>F40*0.0219</f>
        <v>84.766008599999992</v>
      </c>
      <c r="O40" s="1011">
        <f>N40*B40</f>
        <v>0</v>
      </c>
      <c r="P40" s="561"/>
    </row>
    <row r="41" spans="1:16" s="519" customFormat="1" ht="13.5" thickBot="1">
      <c r="A41" s="1090"/>
      <c r="B41" s="1090"/>
      <c r="C41" s="544" t="s">
        <v>307</v>
      </c>
      <c r="D41" s="575" t="s">
        <v>240</v>
      </c>
      <c r="E41" s="491">
        <v>282</v>
      </c>
      <c r="F41" s="300" t="s">
        <v>35</v>
      </c>
      <c r="G41" s="1084"/>
      <c r="H41" s="32" t="s">
        <v>35</v>
      </c>
      <c r="I41" s="1084"/>
      <c r="J41" s="32" t="s">
        <v>35</v>
      </c>
      <c r="K41" s="1084"/>
      <c r="L41" s="32" t="s">
        <v>35</v>
      </c>
      <c r="M41" s="1084"/>
      <c r="N41" s="32" t="s">
        <v>35</v>
      </c>
      <c r="O41" s="1084"/>
    </row>
    <row r="42" spans="1:16" s="519" customFormat="1" ht="13.5" thickBot="1">
      <c r="A42" s="1090"/>
      <c r="B42" s="1090"/>
      <c r="C42" s="544" t="s">
        <v>56</v>
      </c>
      <c r="D42" s="575" t="s">
        <v>57</v>
      </c>
      <c r="E42" s="491">
        <v>75</v>
      </c>
      <c r="F42" s="300" t="s">
        <v>35</v>
      </c>
      <c r="G42" s="1092"/>
      <c r="H42" s="301" t="s">
        <v>35</v>
      </c>
      <c r="I42" s="1092"/>
      <c r="J42" s="301" t="s">
        <v>35</v>
      </c>
      <c r="K42" s="1092"/>
      <c r="L42" s="301" t="s">
        <v>35</v>
      </c>
      <c r="M42" s="1092"/>
      <c r="N42" s="301" t="s">
        <v>35</v>
      </c>
      <c r="O42" s="1092"/>
    </row>
    <row r="43" spans="1:16" s="519" customFormat="1" ht="13.5" thickBot="1">
      <c r="A43" s="563"/>
      <c r="B43" s="308"/>
      <c r="C43" s="545"/>
      <c r="D43" s="537"/>
      <c r="E43" s="564"/>
      <c r="F43" s="33"/>
      <c r="G43" s="34"/>
      <c r="H43" s="36"/>
      <c r="I43" s="34"/>
      <c r="J43" s="36"/>
      <c r="K43" s="35"/>
      <c r="L43" s="36"/>
      <c r="M43" s="34"/>
      <c r="N43" s="36"/>
      <c r="O43" s="35"/>
    </row>
    <row r="44" spans="1:16" s="557" customFormat="1" ht="29.25" customHeight="1" thickBot="1">
      <c r="A44" s="1089" t="s">
        <v>354</v>
      </c>
      <c r="B44" s="1089"/>
      <c r="C44" s="580" t="s">
        <v>352</v>
      </c>
      <c r="D44" s="581" t="s">
        <v>353</v>
      </c>
      <c r="E44" s="582">
        <v>14529.9</v>
      </c>
      <c r="F44" s="30">
        <f>SUM(E44:E46)*(1-74%)</f>
        <v>3870.5940000000001</v>
      </c>
      <c r="G44" s="1011">
        <f>F44*B44</f>
        <v>0</v>
      </c>
      <c r="H44" s="30">
        <f>F44*0.0845+I30/12</f>
        <v>381.64852633333334</v>
      </c>
      <c r="I44" s="1011">
        <f>H44*B44</f>
        <v>0</v>
      </c>
      <c r="J44" s="30">
        <f>F44*0.032+I30/12</f>
        <v>178.44234133333333</v>
      </c>
      <c r="K44" s="1011">
        <f>J44*B44</f>
        <v>0</v>
      </c>
      <c r="L44" s="30">
        <f>F44*0.0263+I30/12</f>
        <v>156.37995553333334</v>
      </c>
      <c r="M44" s="1011">
        <f>L44*B44</f>
        <v>0</v>
      </c>
      <c r="N44" s="30">
        <f>F44*0.0219+I30/12</f>
        <v>139.34934193333333</v>
      </c>
      <c r="O44" s="1011">
        <f>N44*B44</f>
        <v>0</v>
      </c>
      <c r="P44" s="561"/>
    </row>
    <row r="45" spans="1:16" s="519" customFormat="1" ht="13.5" thickBot="1">
      <c r="A45" s="1090"/>
      <c r="B45" s="1090"/>
      <c r="C45" s="544" t="s">
        <v>307</v>
      </c>
      <c r="D45" s="575" t="s">
        <v>240</v>
      </c>
      <c r="E45" s="491">
        <v>282</v>
      </c>
      <c r="F45" s="31" t="s">
        <v>35</v>
      </c>
      <c r="G45" s="1084"/>
      <c r="H45" s="32" t="s">
        <v>35</v>
      </c>
      <c r="I45" s="1084"/>
      <c r="J45" s="32" t="s">
        <v>35</v>
      </c>
      <c r="K45" s="1084"/>
      <c r="L45" s="32" t="s">
        <v>35</v>
      </c>
      <c r="M45" s="1084"/>
      <c r="N45" s="32" t="s">
        <v>35</v>
      </c>
      <c r="O45" s="1084"/>
    </row>
    <row r="46" spans="1:16" s="519" customFormat="1" ht="13.5" thickBot="1">
      <c r="A46" s="1090"/>
      <c r="B46" s="1090"/>
      <c r="C46" s="544" t="s">
        <v>56</v>
      </c>
      <c r="D46" s="575" t="s">
        <v>57</v>
      </c>
      <c r="E46" s="491">
        <v>75</v>
      </c>
      <c r="F46" s="31" t="s">
        <v>35</v>
      </c>
      <c r="G46" s="1092"/>
      <c r="H46" s="32" t="s">
        <v>35</v>
      </c>
      <c r="I46" s="1092"/>
      <c r="J46" s="32" t="s">
        <v>35</v>
      </c>
      <c r="K46" s="1092"/>
      <c r="L46" s="32" t="s">
        <v>35</v>
      </c>
      <c r="M46" s="1092"/>
      <c r="N46" s="32" t="s">
        <v>35</v>
      </c>
      <c r="O46" s="1092"/>
    </row>
    <row r="47" spans="1:16" s="519" customFormat="1" ht="13.5" thickBot="1">
      <c r="A47" s="563"/>
      <c r="B47" s="308"/>
      <c r="C47" s="545"/>
      <c r="D47" s="537"/>
      <c r="E47" s="564"/>
      <c r="F47" s="33"/>
      <c r="G47" s="34"/>
      <c r="H47" s="36"/>
      <c r="I47" s="34"/>
      <c r="J47" s="36"/>
      <c r="K47" s="35"/>
      <c r="L47" s="36"/>
      <c r="M47" s="34"/>
      <c r="N47" s="36"/>
      <c r="O47" s="35"/>
    </row>
    <row r="48" spans="1:16" s="557" customFormat="1" ht="29.25" customHeight="1" thickBot="1">
      <c r="A48" s="1089" t="s">
        <v>355</v>
      </c>
      <c r="B48" s="1089"/>
      <c r="C48" s="580" t="s">
        <v>352</v>
      </c>
      <c r="D48" s="581" t="s">
        <v>353</v>
      </c>
      <c r="E48" s="582">
        <v>14529.9</v>
      </c>
      <c r="F48" s="30">
        <f>SUM(E48:E50)*(1-74%)</f>
        <v>3870.5940000000001</v>
      </c>
      <c r="G48" s="1011">
        <f>F48*B48</f>
        <v>0</v>
      </c>
      <c r="H48" s="30">
        <f>F48*0.0845+N30/12</f>
        <v>392.56519300000002</v>
      </c>
      <c r="I48" s="1011">
        <f>H48*B48</f>
        <v>0</v>
      </c>
      <c r="J48" s="30">
        <f>F48*0.032+N30/12</f>
        <v>189.35900800000002</v>
      </c>
      <c r="K48" s="1011">
        <f>J48*B48</f>
        <v>0</v>
      </c>
      <c r="L48" s="30">
        <f>F48*0.0263+N30/12</f>
        <v>167.2966222</v>
      </c>
      <c r="M48" s="1011">
        <f>L48*B48</f>
        <v>0</v>
      </c>
      <c r="N48" s="30">
        <f>F48*0.0219+N30/12</f>
        <v>150.26600859999999</v>
      </c>
      <c r="O48" s="1011">
        <f>N48*B48</f>
        <v>0</v>
      </c>
      <c r="P48" s="561"/>
    </row>
    <row r="49" spans="1:16" s="519" customFormat="1" ht="13.5" thickBot="1">
      <c r="A49" s="1090"/>
      <c r="B49" s="1090"/>
      <c r="C49" s="544" t="s">
        <v>307</v>
      </c>
      <c r="D49" s="575" t="s">
        <v>240</v>
      </c>
      <c r="E49" s="491">
        <v>282</v>
      </c>
      <c r="F49" s="31" t="s">
        <v>35</v>
      </c>
      <c r="G49" s="1084"/>
      <c r="H49" s="32" t="s">
        <v>35</v>
      </c>
      <c r="I49" s="1084"/>
      <c r="J49" s="32" t="s">
        <v>35</v>
      </c>
      <c r="K49" s="1084"/>
      <c r="L49" s="32" t="s">
        <v>35</v>
      </c>
      <c r="M49" s="1084"/>
      <c r="N49" s="32" t="s">
        <v>35</v>
      </c>
      <c r="O49" s="1084"/>
    </row>
    <row r="50" spans="1:16" s="519" customFormat="1" ht="13.5" thickBot="1">
      <c r="A50" s="1091"/>
      <c r="B50" s="1091"/>
      <c r="C50" s="544" t="s">
        <v>56</v>
      </c>
      <c r="D50" s="575" t="s">
        <v>57</v>
      </c>
      <c r="E50" s="491">
        <v>75</v>
      </c>
      <c r="F50" s="300" t="s">
        <v>35</v>
      </c>
      <c r="G50" s="1084"/>
      <c r="H50" s="448" t="s">
        <v>35</v>
      </c>
      <c r="I50" s="1084"/>
      <c r="J50" s="448" t="s">
        <v>35</v>
      </c>
      <c r="K50" s="1084"/>
      <c r="L50" s="448" t="s">
        <v>35</v>
      </c>
      <c r="M50" s="1084"/>
      <c r="N50" s="448" t="s">
        <v>35</v>
      </c>
      <c r="O50" s="1084"/>
    </row>
    <row r="51" spans="1:16" s="519" customFormat="1" ht="13.5" customHeight="1" thickBot="1">
      <c r="A51" s="1002" t="s">
        <v>59</v>
      </c>
      <c r="B51" s="1003"/>
      <c r="C51" s="1003"/>
      <c r="D51" s="1003"/>
      <c r="E51" s="1003"/>
      <c r="F51" s="1003"/>
      <c r="G51" s="1003"/>
      <c r="H51" s="1003"/>
      <c r="I51" s="1003"/>
      <c r="J51" s="1003"/>
      <c r="K51" s="1003"/>
      <c r="L51" s="1003"/>
      <c r="M51" s="1003"/>
      <c r="N51" s="1003"/>
      <c r="O51" s="1025"/>
    </row>
    <row r="52" spans="1:16" s="291" customFormat="1" ht="13.5" thickBot="1">
      <c r="A52" s="1171"/>
      <c r="B52" s="583"/>
      <c r="C52" s="297" t="s">
        <v>103</v>
      </c>
      <c r="D52" s="298" t="s">
        <v>104</v>
      </c>
      <c r="E52" s="326">
        <v>129.99</v>
      </c>
      <c r="F52" s="38">
        <f t="shared" ref="F52:F96" si="0">E52*(1-40%)</f>
        <v>77.994</v>
      </c>
      <c r="G52" s="397">
        <f t="shared" ref="G52:G61" si="1">F52*B52</f>
        <v>0</v>
      </c>
      <c r="H52" s="397">
        <f t="shared" ref="H52:H96" si="2">F52*0.0845</f>
        <v>6.5904930000000004</v>
      </c>
      <c r="I52" s="397">
        <f t="shared" ref="I52:I61" si="3">H52*B52</f>
        <v>0</v>
      </c>
      <c r="J52" s="397">
        <f t="shared" ref="J52:J96" si="4">F52*0.032</f>
        <v>2.4958080000000002</v>
      </c>
      <c r="K52" s="397">
        <f t="shared" ref="K52:K61" si="5">J52*B52</f>
        <v>0</v>
      </c>
      <c r="L52" s="397">
        <f t="shared" ref="L52:L96" si="6">F52*0.0263</f>
        <v>2.0512421999999999</v>
      </c>
      <c r="M52" s="397">
        <f t="shared" ref="M52:M61" si="7">L52*B52</f>
        <v>0</v>
      </c>
      <c r="N52" s="397">
        <f t="shared" ref="N52:N96" si="8">F52*0.0219</f>
        <v>1.7080686</v>
      </c>
      <c r="O52" s="397">
        <f t="shared" ref="O52:O61" si="9">N52*B52</f>
        <v>0</v>
      </c>
      <c r="P52" s="584"/>
    </row>
    <row r="53" spans="1:16" s="291" customFormat="1" ht="13.5" thickBot="1">
      <c r="A53" s="1172"/>
      <c r="B53" s="583"/>
      <c r="C53" s="297" t="s">
        <v>105</v>
      </c>
      <c r="D53" s="298" t="s">
        <v>325</v>
      </c>
      <c r="E53" s="326">
        <v>399</v>
      </c>
      <c r="F53" s="38">
        <f t="shared" si="0"/>
        <v>239.39999999999998</v>
      </c>
      <c r="G53" s="396">
        <f t="shared" si="1"/>
        <v>0</v>
      </c>
      <c r="H53" s="397">
        <f t="shared" si="2"/>
        <v>20.229299999999999</v>
      </c>
      <c r="I53" s="397">
        <f t="shared" si="3"/>
        <v>0</v>
      </c>
      <c r="J53" s="397">
        <f t="shared" si="4"/>
        <v>7.6607999999999992</v>
      </c>
      <c r="K53" s="397">
        <f t="shared" si="5"/>
        <v>0</v>
      </c>
      <c r="L53" s="397">
        <f t="shared" si="6"/>
        <v>6.2962199999999999</v>
      </c>
      <c r="M53" s="397">
        <f t="shared" si="7"/>
        <v>0</v>
      </c>
      <c r="N53" s="397">
        <f t="shared" si="8"/>
        <v>5.2428599999999994</v>
      </c>
      <c r="O53" s="397">
        <f t="shared" si="9"/>
        <v>0</v>
      </c>
      <c r="P53" s="584"/>
    </row>
    <row r="54" spans="1:16" s="291" customFormat="1" ht="13.5" thickBot="1">
      <c r="A54" s="1172"/>
      <c r="B54" s="585"/>
      <c r="C54" s="586" t="s">
        <v>107</v>
      </c>
      <c r="D54" s="587" t="s">
        <v>108</v>
      </c>
      <c r="E54" s="451">
        <v>250</v>
      </c>
      <c r="F54" s="38">
        <f t="shared" si="0"/>
        <v>150</v>
      </c>
      <c r="G54" s="396">
        <f t="shared" si="1"/>
        <v>0</v>
      </c>
      <c r="H54" s="397">
        <f t="shared" si="2"/>
        <v>12.675000000000001</v>
      </c>
      <c r="I54" s="397">
        <f t="shared" si="3"/>
        <v>0</v>
      </c>
      <c r="J54" s="397">
        <f t="shared" si="4"/>
        <v>4.8</v>
      </c>
      <c r="K54" s="397">
        <f t="shared" si="5"/>
        <v>0</v>
      </c>
      <c r="L54" s="397">
        <f t="shared" si="6"/>
        <v>3.9450000000000003</v>
      </c>
      <c r="M54" s="397">
        <f t="shared" si="7"/>
        <v>0</v>
      </c>
      <c r="N54" s="397">
        <f t="shared" si="8"/>
        <v>3.2849999999999997</v>
      </c>
      <c r="O54" s="397">
        <f t="shared" si="9"/>
        <v>0</v>
      </c>
      <c r="P54" s="584"/>
    </row>
    <row r="55" spans="1:16" s="291" customFormat="1" ht="13.5" thickBot="1">
      <c r="A55" s="1172"/>
      <c r="B55" s="319"/>
      <c r="C55" s="297" t="s">
        <v>109</v>
      </c>
      <c r="D55" s="298" t="s">
        <v>110</v>
      </c>
      <c r="E55" s="326">
        <v>400</v>
      </c>
      <c r="F55" s="38">
        <f t="shared" si="0"/>
        <v>240</v>
      </c>
      <c r="G55" s="396">
        <f t="shared" si="1"/>
        <v>0</v>
      </c>
      <c r="H55" s="397">
        <f t="shared" si="2"/>
        <v>20.28</v>
      </c>
      <c r="I55" s="397">
        <f t="shared" si="3"/>
        <v>0</v>
      </c>
      <c r="J55" s="397">
        <f t="shared" si="4"/>
        <v>7.68</v>
      </c>
      <c r="K55" s="397">
        <f t="shared" si="5"/>
        <v>0</v>
      </c>
      <c r="L55" s="397">
        <f t="shared" si="6"/>
        <v>6.3120000000000003</v>
      </c>
      <c r="M55" s="397">
        <f t="shared" si="7"/>
        <v>0</v>
      </c>
      <c r="N55" s="397">
        <f t="shared" si="8"/>
        <v>5.2560000000000002</v>
      </c>
      <c r="O55" s="397">
        <f t="shared" si="9"/>
        <v>0</v>
      </c>
      <c r="P55" s="584"/>
    </row>
    <row r="56" spans="1:16" s="291" customFormat="1" ht="13.5" thickBot="1">
      <c r="A56" s="1172"/>
      <c r="B56" s="319"/>
      <c r="C56" s="297" t="s">
        <v>111</v>
      </c>
      <c r="D56" s="298" t="s">
        <v>112</v>
      </c>
      <c r="E56" s="326">
        <v>499</v>
      </c>
      <c r="F56" s="38">
        <f t="shared" si="0"/>
        <v>299.39999999999998</v>
      </c>
      <c r="G56" s="396">
        <f t="shared" si="1"/>
        <v>0</v>
      </c>
      <c r="H56" s="397">
        <f t="shared" si="2"/>
        <v>25.299299999999999</v>
      </c>
      <c r="I56" s="397">
        <f t="shared" si="3"/>
        <v>0</v>
      </c>
      <c r="J56" s="397">
        <f t="shared" si="4"/>
        <v>9.5808</v>
      </c>
      <c r="K56" s="397">
        <f t="shared" si="5"/>
        <v>0</v>
      </c>
      <c r="L56" s="397">
        <f t="shared" si="6"/>
        <v>7.8742199999999993</v>
      </c>
      <c r="M56" s="397">
        <f t="shared" si="7"/>
        <v>0</v>
      </c>
      <c r="N56" s="397">
        <f t="shared" si="8"/>
        <v>6.5568599999999995</v>
      </c>
      <c r="O56" s="397">
        <f t="shared" si="9"/>
        <v>0</v>
      </c>
      <c r="P56" s="584"/>
    </row>
    <row r="57" spans="1:16" s="291" customFormat="1" ht="13.5" thickBot="1">
      <c r="A57" s="1172"/>
      <c r="B57" s="319"/>
      <c r="C57" s="297" t="s">
        <v>77</v>
      </c>
      <c r="D57" s="298" t="s">
        <v>169</v>
      </c>
      <c r="E57" s="326">
        <v>329</v>
      </c>
      <c r="F57" s="38">
        <f t="shared" si="0"/>
        <v>197.4</v>
      </c>
      <c r="G57" s="396">
        <f t="shared" si="1"/>
        <v>0</v>
      </c>
      <c r="H57" s="397">
        <f t="shared" si="2"/>
        <v>16.680300000000003</v>
      </c>
      <c r="I57" s="397">
        <f t="shared" si="3"/>
        <v>0</v>
      </c>
      <c r="J57" s="397">
        <f t="shared" si="4"/>
        <v>6.3168000000000006</v>
      </c>
      <c r="K57" s="397">
        <f t="shared" si="5"/>
        <v>0</v>
      </c>
      <c r="L57" s="397">
        <f t="shared" si="6"/>
        <v>5.1916200000000003</v>
      </c>
      <c r="M57" s="397">
        <f t="shared" si="7"/>
        <v>0</v>
      </c>
      <c r="N57" s="397">
        <f t="shared" si="8"/>
        <v>4.3230599999999999</v>
      </c>
      <c r="O57" s="397">
        <f t="shared" si="9"/>
        <v>0</v>
      </c>
      <c r="P57" s="584"/>
    </row>
    <row r="58" spans="1:16" s="291" customFormat="1" ht="13.5" thickBot="1">
      <c r="A58" s="1172"/>
      <c r="B58" s="583"/>
      <c r="C58" s="297" t="s">
        <v>241</v>
      </c>
      <c r="D58" s="298" t="s">
        <v>3853</v>
      </c>
      <c r="E58" s="326">
        <v>235.4</v>
      </c>
      <c r="F58" s="38">
        <f>E58*(1-40%)</f>
        <v>141.24</v>
      </c>
      <c r="G58" s="396">
        <f>F58*B58</f>
        <v>0</v>
      </c>
      <c r="H58" s="397">
        <f>F58*0.0845</f>
        <v>11.934780000000002</v>
      </c>
      <c r="I58" s="397">
        <f>H58*B58</f>
        <v>0</v>
      </c>
      <c r="J58" s="397">
        <f>F58*0.032</f>
        <v>4.5196800000000001</v>
      </c>
      <c r="K58" s="397">
        <f>J58*B58</f>
        <v>0</v>
      </c>
      <c r="L58" s="397">
        <f>F58*0.0263</f>
        <v>3.7146120000000002</v>
      </c>
      <c r="M58" s="397">
        <f>L58*B58</f>
        <v>0</v>
      </c>
      <c r="N58" s="397">
        <f>F58*0.0219</f>
        <v>3.093156</v>
      </c>
      <c r="O58" s="397">
        <f>N58*B58</f>
        <v>0</v>
      </c>
      <c r="P58" s="584"/>
    </row>
    <row r="59" spans="1:16" s="291" customFormat="1" ht="13.5" thickBot="1">
      <c r="A59" s="1172"/>
      <c r="B59" s="585"/>
      <c r="C59" s="297" t="s">
        <v>242</v>
      </c>
      <c r="D59" s="298" t="s">
        <v>3854</v>
      </c>
      <c r="E59" s="326">
        <v>328.49</v>
      </c>
      <c r="F59" s="38">
        <f>E59*(1-40%)</f>
        <v>197.09399999999999</v>
      </c>
      <c r="G59" s="396">
        <f>F59*B59</f>
        <v>0</v>
      </c>
      <c r="H59" s="397">
        <f>F59*0.0845</f>
        <v>16.654443000000001</v>
      </c>
      <c r="I59" s="397">
        <f>H59*B59</f>
        <v>0</v>
      </c>
      <c r="J59" s="397">
        <f>F59*0.032</f>
        <v>6.3070079999999997</v>
      </c>
      <c r="K59" s="397">
        <f>J59*B59</f>
        <v>0</v>
      </c>
      <c r="L59" s="397">
        <f>F59*0.0263</f>
        <v>5.1835721999999995</v>
      </c>
      <c r="M59" s="397">
        <f>L59*B59</f>
        <v>0</v>
      </c>
      <c r="N59" s="397">
        <f>F59*0.0219</f>
        <v>4.3163586</v>
      </c>
      <c r="O59" s="397">
        <f>N59*B59</f>
        <v>0</v>
      </c>
      <c r="P59" s="584"/>
    </row>
    <row r="60" spans="1:16" s="291" customFormat="1" ht="13.5" thickBot="1">
      <c r="A60" s="1172"/>
      <c r="B60" s="585"/>
      <c r="C60" s="586" t="s">
        <v>117</v>
      </c>
      <c r="D60" s="587" t="s">
        <v>118</v>
      </c>
      <c r="E60" s="451">
        <v>999.38</v>
      </c>
      <c r="F60" s="38">
        <f t="shared" si="0"/>
        <v>599.62799999999993</v>
      </c>
      <c r="G60" s="396">
        <f t="shared" si="1"/>
        <v>0</v>
      </c>
      <c r="H60" s="397">
        <f t="shared" si="2"/>
        <v>50.668565999999998</v>
      </c>
      <c r="I60" s="397">
        <f t="shared" si="3"/>
        <v>0</v>
      </c>
      <c r="J60" s="397">
        <f t="shared" si="4"/>
        <v>19.188095999999998</v>
      </c>
      <c r="K60" s="397">
        <f t="shared" si="5"/>
        <v>0</v>
      </c>
      <c r="L60" s="397">
        <f t="shared" si="6"/>
        <v>15.770216399999999</v>
      </c>
      <c r="M60" s="397">
        <f t="shared" si="7"/>
        <v>0</v>
      </c>
      <c r="N60" s="397">
        <f t="shared" si="8"/>
        <v>13.131853199999998</v>
      </c>
      <c r="O60" s="397">
        <f t="shared" si="9"/>
        <v>0</v>
      </c>
      <c r="P60" s="584"/>
    </row>
    <row r="61" spans="1:16" s="291" customFormat="1" ht="13.5" thickBot="1">
      <c r="A61" s="1172"/>
      <c r="B61" s="583"/>
      <c r="C61" s="297" t="s">
        <v>119</v>
      </c>
      <c r="D61" s="298" t="s">
        <v>120</v>
      </c>
      <c r="E61" s="326">
        <v>222.6</v>
      </c>
      <c r="F61" s="38">
        <f t="shared" si="0"/>
        <v>133.56</v>
      </c>
      <c r="G61" s="396">
        <f t="shared" si="1"/>
        <v>0</v>
      </c>
      <c r="H61" s="397">
        <f t="shared" si="2"/>
        <v>11.285820000000001</v>
      </c>
      <c r="I61" s="397">
        <f t="shared" si="3"/>
        <v>0</v>
      </c>
      <c r="J61" s="397">
        <f t="shared" si="4"/>
        <v>4.2739200000000004</v>
      </c>
      <c r="K61" s="397">
        <f t="shared" si="5"/>
        <v>0</v>
      </c>
      <c r="L61" s="397">
        <f t="shared" si="6"/>
        <v>3.5126280000000003</v>
      </c>
      <c r="M61" s="397">
        <f t="shared" si="7"/>
        <v>0</v>
      </c>
      <c r="N61" s="397">
        <f t="shared" si="8"/>
        <v>2.9249640000000001</v>
      </c>
      <c r="O61" s="397">
        <f t="shared" si="9"/>
        <v>0</v>
      </c>
      <c r="P61" s="584"/>
    </row>
    <row r="62" spans="1:16" s="291" customFormat="1" ht="26.25" thickBot="1">
      <c r="A62" s="1172"/>
      <c r="B62" s="585"/>
      <c r="C62" s="297" t="s">
        <v>244</v>
      </c>
      <c r="D62" s="298" t="s">
        <v>3855</v>
      </c>
      <c r="E62" s="326">
        <v>1259.3900000000001</v>
      </c>
      <c r="F62" s="38">
        <f t="shared" si="0"/>
        <v>755.63400000000001</v>
      </c>
      <c r="G62" s="396">
        <f t="shared" ref="G62:G96" si="10">F62*B62</f>
        <v>0</v>
      </c>
      <c r="H62" s="397">
        <f t="shared" si="2"/>
        <v>63.851073000000007</v>
      </c>
      <c r="I62" s="397">
        <f t="shared" ref="I62:I96" si="11">H62*B62</f>
        <v>0</v>
      </c>
      <c r="J62" s="397">
        <f t="shared" si="4"/>
        <v>24.180288000000001</v>
      </c>
      <c r="K62" s="397">
        <f t="shared" ref="K62:K96" si="12">J62*B62</f>
        <v>0</v>
      </c>
      <c r="L62" s="397">
        <f t="shared" si="6"/>
        <v>19.873174200000001</v>
      </c>
      <c r="M62" s="397">
        <f t="shared" ref="M62:M96" si="13">L62*B62</f>
        <v>0</v>
      </c>
      <c r="N62" s="397">
        <f t="shared" si="8"/>
        <v>16.548384599999999</v>
      </c>
      <c r="O62" s="397">
        <f t="shared" ref="O62:O96" si="14">N62*B62</f>
        <v>0</v>
      </c>
      <c r="P62" s="584"/>
    </row>
    <row r="63" spans="1:16" s="291" customFormat="1" ht="13.5" thickBot="1">
      <c r="A63" s="1172"/>
      <c r="B63" s="585"/>
      <c r="C63" s="297" t="s">
        <v>3856</v>
      </c>
      <c r="D63" s="298" t="s">
        <v>4039</v>
      </c>
      <c r="E63" s="326">
        <v>1399.56</v>
      </c>
      <c r="F63" s="38">
        <f t="shared" si="0"/>
        <v>839.73599999999999</v>
      </c>
      <c r="G63" s="396">
        <f t="shared" si="10"/>
        <v>0</v>
      </c>
      <c r="H63" s="397">
        <f t="shared" si="2"/>
        <v>70.957692000000009</v>
      </c>
      <c r="I63" s="397">
        <f t="shared" si="11"/>
        <v>0</v>
      </c>
      <c r="J63" s="397">
        <f t="shared" si="4"/>
        <v>26.871552000000001</v>
      </c>
      <c r="K63" s="397">
        <f t="shared" si="12"/>
        <v>0</v>
      </c>
      <c r="L63" s="397">
        <f t="shared" si="6"/>
        <v>22.0850568</v>
      </c>
      <c r="M63" s="397">
        <f t="shared" si="13"/>
        <v>0</v>
      </c>
      <c r="N63" s="397">
        <f t="shared" si="8"/>
        <v>18.390218399999998</v>
      </c>
      <c r="O63" s="397">
        <f t="shared" si="14"/>
        <v>0</v>
      </c>
      <c r="P63" s="584"/>
    </row>
    <row r="64" spans="1:16" s="291" customFormat="1" ht="26.25" thickBot="1">
      <c r="A64" s="1172"/>
      <c r="B64" s="583"/>
      <c r="C64" s="297" t="s">
        <v>3858</v>
      </c>
      <c r="D64" s="298" t="s">
        <v>429</v>
      </c>
      <c r="E64" s="326">
        <v>2172.17</v>
      </c>
      <c r="F64" s="38">
        <f t="shared" si="0"/>
        <v>1303.3019999999999</v>
      </c>
      <c r="G64" s="396">
        <f t="shared" si="10"/>
        <v>0</v>
      </c>
      <c r="H64" s="397">
        <f t="shared" si="2"/>
        <v>110.129019</v>
      </c>
      <c r="I64" s="397">
        <f t="shared" si="11"/>
        <v>0</v>
      </c>
      <c r="J64" s="397">
        <f t="shared" si="4"/>
        <v>41.705663999999999</v>
      </c>
      <c r="K64" s="397">
        <f t="shared" si="12"/>
        <v>0</v>
      </c>
      <c r="L64" s="397">
        <f t="shared" si="6"/>
        <v>34.276842599999995</v>
      </c>
      <c r="M64" s="397">
        <f t="shared" si="13"/>
        <v>0</v>
      </c>
      <c r="N64" s="397">
        <f t="shared" si="8"/>
        <v>28.542313799999999</v>
      </c>
      <c r="O64" s="397">
        <f t="shared" si="14"/>
        <v>0</v>
      </c>
      <c r="P64" s="584"/>
    </row>
    <row r="65" spans="1:16" s="291" customFormat="1" ht="26.25" thickBot="1">
      <c r="A65" s="1172"/>
      <c r="B65" s="583"/>
      <c r="C65" s="297" t="s">
        <v>3914</v>
      </c>
      <c r="D65" s="298" t="s">
        <v>4038</v>
      </c>
      <c r="E65" s="326">
        <v>4008.22</v>
      </c>
      <c r="F65" s="38">
        <f t="shared" si="0"/>
        <v>2404.9319999999998</v>
      </c>
      <c r="G65" s="396">
        <f t="shared" si="10"/>
        <v>0</v>
      </c>
      <c r="H65" s="397">
        <f t="shared" si="2"/>
        <v>203.21675400000001</v>
      </c>
      <c r="I65" s="397">
        <f t="shared" si="11"/>
        <v>0</v>
      </c>
      <c r="J65" s="397">
        <f t="shared" si="4"/>
        <v>76.957823999999988</v>
      </c>
      <c r="K65" s="397">
        <f t="shared" si="12"/>
        <v>0</v>
      </c>
      <c r="L65" s="397">
        <f t="shared" si="6"/>
        <v>63.249711599999998</v>
      </c>
      <c r="M65" s="397">
        <f t="shared" si="13"/>
        <v>0</v>
      </c>
      <c r="N65" s="397">
        <f t="shared" si="8"/>
        <v>52.66801079999999</v>
      </c>
      <c r="O65" s="397">
        <f t="shared" si="14"/>
        <v>0</v>
      </c>
      <c r="P65" s="584"/>
    </row>
    <row r="66" spans="1:16" s="291" customFormat="1" ht="13.5" thickBot="1">
      <c r="A66" s="1172"/>
      <c r="B66" s="583"/>
      <c r="C66" s="297" t="s">
        <v>3861</v>
      </c>
      <c r="D66" s="298" t="s">
        <v>3852</v>
      </c>
      <c r="E66" s="326">
        <v>1828.63</v>
      </c>
      <c r="F66" s="38">
        <f t="shared" si="0"/>
        <v>1097.1780000000001</v>
      </c>
      <c r="G66" s="396">
        <f t="shared" si="10"/>
        <v>0</v>
      </c>
      <c r="H66" s="397">
        <f t="shared" si="2"/>
        <v>92.711541000000011</v>
      </c>
      <c r="I66" s="397">
        <f t="shared" si="11"/>
        <v>0</v>
      </c>
      <c r="J66" s="397">
        <f t="shared" si="4"/>
        <v>35.109696000000007</v>
      </c>
      <c r="K66" s="397">
        <f t="shared" si="12"/>
        <v>0</v>
      </c>
      <c r="L66" s="397">
        <f t="shared" si="6"/>
        <v>28.855781400000005</v>
      </c>
      <c r="M66" s="397">
        <f t="shared" si="13"/>
        <v>0</v>
      </c>
      <c r="N66" s="397">
        <f t="shared" si="8"/>
        <v>24.028198200000002</v>
      </c>
      <c r="O66" s="397">
        <f t="shared" si="14"/>
        <v>0</v>
      </c>
      <c r="P66" s="584"/>
    </row>
    <row r="67" spans="1:16" s="291" customFormat="1" ht="13.5" thickBot="1">
      <c r="A67" s="1172"/>
      <c r="B67" s="583"/>
      <c r="C67" s="297" t="s">
        <v>123</v>
      </c>
      <c r="D67" s="298" t="s">
        <v>3910</v>
      </c>
      <c r="E67" s="326">
        <v>329.56</v>
      </c>
      <c r="F67" s="38">
        <f>E67*(1-40%)</f>
        <v>197.73599999999999</v>
      </c>
      <c r="G67" s="396">
        <f t="shared" si="10"/>
        <v>0</v>
      </c>
      <c r="H67" s="397">
        <f>F67*0.0845</f>
        <v>16.708691999999999</v>
      </c>
      <c r="I67" s="397">
        <f t="shared" si="11"/>
        <v>0</v>
      </c>
      <c r="J67" s="397">
        <f>F67*0.032</f>
        <v>6.3275519999999998</v>
      </c>
      <c r="K67" s="397">
        <f t="shared" si="12"/>
        <v>0</v>
      </c>
      <c r="L67" s="397">
        <f>F67*0.0263</f>
        <v>5.2004567999999995</v>
      </c>
      <c r="M67" s="397">
        <f t="shared" si="13"/>
        <v>0</v>
      </c>
      <c r="N67" s="397">
        <f>F67*0.0219</f>
        <v>4.3304183999999992</v>
      </c>
      <c r="O67" s="397">
        <f t="shared" si="14"/>
        <v>0</v>
      </c>
      <c r="P67" s="584"/>
    </row>
    <row r="68" spans="1:16" s="291" customFormat="1" ht="13.5" thickBot="1">
      <c r="A68" s="1172"/>
      <c r="B68" s="583"/>
      <c r="C68" s="297" t="s">
        <v>3862</v>
      </c>
      <c r="D68" s="298" t="s">
        <v>296</v>
      </c>
      <c r="E68" s="326">
        <v>4449.0600000000004</v>
      </c>
      <c r="F68" s="38">
        <f t="shared" si="0"/>
        <v>2669.4360000000001</v>
      </c>
      <c r="G68" s="396">
        <f t="shared" si="10"/>
        <v>0</v>
      </c>
      <c r="H68" s="397">
        <f t="shared" si="2"/>
        <v>225.56734200000002</v>
      </c>
      <c r="I68" s="397">
        <f t="shared" si="11"/>
        <v>0</v>
      </c>
      <c r="J68" s="397">
        <f t="shared" si="4"/>
        <v>85.421952000000005</v>
      </c>
      <c r="K68" s="397">
        <f t="shared" si="12"/>
        <v>0</v>
      </c>
      <c r="L68" s="397">
        <f t="shared" si="6"/>
        <v>70.206166800000005</v>
      </c>
      <c r="M68" s="397">
        <f t="shared" si="13"/>
        <v>0</v>
      </c>
      <c r="N68" s="397">
        <f t="shared" si="8"/>
        <v>58.460648400000004</v>
      </c>
      <c r="O68" s="397">
        <f t="shared" si="14"/>
        <v>0</v>
      </c>
      <c r="P68" s="584"/>
    </row>
    <row r="69" spans="1:16" s="291" customFormat="1" ht="13.5" thickBot="1">
      <c r="A69" s="1172"/>
      <c r="B69" s="583"/>
      <c r="C69" s="297" t="s">
        <v>3863</v>
      </c>
      <c r="D69" s="298" t="s">
        <v>3864</v>
      </c>
      <c r="E69" s="326">
        <v>352.03</v>
      </c>
      <c r="F69" s="38">
        <f t="shared" si="0"/>
        <v>211.21799999999999</v>
      </c>
      <c r="G69" s="396">
        <f t="shared" si="10"/>
        <v>0</v>
      </c>
      <c r="H69" s="397">
        <f t="shared" si="2"/>
        <v>17.847920999999999</v>
      </c>
      <c r="I69" s="397">
        <f t="shared" si="11"/>
        <v>0</v>
      </c>
      <c r="J69" s="397">
        <f t="shared" si="4"/>
        <v>6.7589759999999997</v>
      </c>
      <c r="K69" s="397">
        <f t="shared" si="12"/>
        <v>0</v>
      </c>
      <c r="L69" s="397">
        <f t="shared" si="6"/>
        <v>5.5550334000000001</v>
      </c>
      <c r="M69" s="397">
        <f t="shared" si="13"/>
        <v>0</v>
      </c>
      <c r="N69" s="397">
        <f t="shared" si="8"/>
        <v>4.6256741999999997</v>
      </c>
      <c r="O69" s="397">
        <f t="shared" si="14"/>
        <v>0</v>
      </c>
      <c r="P69" s="584"/>
    </row>
    <row r="70" spans="1:16" s="291" customFormat="1" ht="13.5" thickBot="1">
      <c r="A70" s="1172"/>
      <c r="B70" s="583"/>
      <c r="C70" s="297" t="s">
        <v>214</v>
      </c>
      <c r="D70" s="298" t="s">
        <v>246</v>
      </c>
      <c r="E70" s="326">
        <v>588.5</v>
      </c>
      <c r="F70" s="38">
        <f t="shared" si="0"/>
        <v>353.09999999999997</v>
      </c>
      <c r="G70" s="396">
        <f t="shared" si="10"/>
        <v>0</v>
      </c>
      <c r="H70" s="397">
        <f t="shared" si="2"/>
        <v>29.836949999999998</v>
      </c>
      <c r="I70" s="397">
        <f t="shared" si="11"/>
        <v>0</v>
      </c>
      <c r="J70" s="397">
        <f t="shared" si="4"/>
        <v>11.299199999999999</v>
      </c>
      <c r="K70" s="397">
        <f t="shared" si="12"/>
        <v>0</v>
      </c>
      <c r="L70" s="397">
        <f t="shared" si="6"/>
        <v>9.2865299999999991</v>
      </c>
      <c r="M70" s="397">
        <f t="shared" si="13"/>
        <v>0</v>
      </c>
      <c r="N70" s="397">
        <f t="shared" si="8"/>
        <v>7.7328899999999994</v>
      </c>
      <c r="O70" s="397">
        <f t="shared" si="14"/>
        <v>0</v>
      </c>
      <c r="P70" s="584"/>
    </row>
    <row r="71" spans="1:16" s="291" customFormat="1" ht="13.5" thickBot="1">
      <c r="A71" s="1172"/>
      <c r="B71" s="583"/>
      <c r="C71" s="297" t="s">
        <v>522</v>
      </c>
      <c r="D71" s="298" t="s">
        <v>432</v>
      </c>
      <c r="E71" s="326">
        <v>101.65</v>
      </c>
      <c r="F71" s="38">
        <f t="shared" si="0"/>
        <v>60.99</v>
      </c>
      <c r="G71" s="396">
        <f t="shared" si="10"/>
        <v>0</v>
      </c>
      <c r="H71" s="397">
        <f t="shared" si="2"/>
        <v>5.1536550000000005</v>
      </c>
      <c r="I71" s="397">
        <f t="shared" si="11"/>
        <v>0</v>
      </c>
      <c r="J71" s="397">
        <f t="shared" si="4"/>
        <v>1.9516800000000001</v>
      </c>
      <c r="K71" s="397">
        <f t="shared" si="12"/>
        <v>0</v>
      </c>
      <c r="L71" s="397">
        <f t="shared" si="6"/>
        <v>1.6040370000000002</v>
      </c>
      <c r="M71" s="397">
        <f t="shared" si="13"/>
        <v>0</v>
      </c>
      <c r="N71" s="397">
        <f t="shared" si="8"/>
        <v>1.3356809999999999</v>
      </c>
      <c r="O71" s="397">
        <f t="shared" si="14"/>
        <v>0</v>
      </c>
      <c r="P71" s="584"/>
    </row>
    <row r="72" spans="1:16" s="291" customFormat="1" ht="13.5" thickBot="1">
      <c r="A72" s="1172"/>
      <c r="B72" s="583"/>
      <c r="C72" s="297" t="s">
        <v>3865</v>
      </c>
      <c r="D72" s="298" t="s">
        <v>3866</v>
      </c>
      <c r="E72" s="326">
        <v>145.52000000000001</v>
      </c>
      <c r="F72" s="38">
        <f t="shared" si="0"/>
        <v>87.311999999999998</v>
      </c>
      <c r="G72" s="396">
        <f t="shared" si="10"/>
        <v>0</v>
      </c>
      <c r="H72" s="397">
        <f t="shared" si="2"/>
        <v>7.3778640000000006</v>
      </c>
      <c r="I72" s="397">
        <f t="shared" si="11"/>
        <v>0</v>
      </c>
      <c r="J72" s="397">
        <f t="shared" si="4"/>
        <v>2.793984</v>
      </c>
      <c r="K72" s="397">
        <f t="shared" si="12"/>
        <v>0</v>
      </c>
      <c r="L72" s="397">
        <f t="shared" si="6"/>
        <v>2.2963056000000002</v>
      </c>
      <c r="M72" s="397">
        <f t="shared" si="13"/>
        <v>0</v>
      </c>
      <c r="N72" s="397">
        <f t="shared" si="8"/>
        <v>1.9121328</v>
      </c>
      <c r="O72" s="397">
        <f t="shared" si="14"/>
        <v>0</v>
      </c>
      <c r="P72" s="584"/>
    </row>
    <row r="73" spans="1:16" s="291" customFormat="1" ht="13.5" thickBot="1">
      <c r="A73" s="1172"/>
      <c r="B73" s="583"/>
      <c r="C73" s="297" t="s">
        <v>127</v>
      </c>
      <c r="D73" s="298" t="s">
        <v>128</v>
      </c>
      <c r="E73" s="326">
        <v>148.72999999999999</v>
      </c>
      <c r="F73" s="38">
        <f t="shared" si="0"/>
        <v>89.237999999999985</v>
      </c>
      <c r="G73" s="396">
        <f t="shared" si="10"/>
        <v>0</v>
      </c>
      <c r="H73" s="397">
        <f t="shared" si="2"/>
        <v>7.5406109999999993</v>
      </c>
      <c r="I73" s="397">
        <f t="shared" si="11"/>
        <v>0</v>
      </c>
      <c r="J73" s="397">
        <f t="shared" si="4"/>
        <v>2.8556159999999995</v>
      </c>
      <c r="K73" s="397">
        <f t="shared" si="12"/>
        <v>0</v>
      </c>
      <c r="L73" s="397">
        <f t="shared" si="6"/>
        <v>2.3469593999999998</v>
      </c>
      <c r="M73" s="397">
        <f t="shared" si="13"/>
        <v>0</v>
      </c>
      <c r="N73" s="397">
        <f t="shared" si="8"/>
        <v>1.9543121999999997</v>
      </c>
      <c r="O73" s="397">
        <f t="shared" si="14"/>
        <v>0</v>
      </c>
      <c r="P73" s="584"/>
    </row>
    <row r="74" spans="1:16" s="291" customFormat="1" ht="13.5" thickBot="1">
      <c r="A74" s="1172"/>
      <c r="B74" s="583"/>
      <c r="C74" s="297" t="s">
        <v>129</v>
      </c>
      <c r="D74" s="298" t="s">
        <v>130</v>
      </c>
      <c r="E74" s="326">
        <v>785</v>
      </c>
      <c r="F74" s="38">
        <f t="shared" si="0"/>
        <v>471</v>
      </c>
      <c r="G74" s="396">
        <f t="shared" si="10"/>
        <v>0</v>
      </c>
      <c r="H74" s="397">
        <f t="shared" si="2"/>
        <v>39.799500000000002</v>
      </c>
      <c r="I74" s="397">
        <f t="shared" si="11"/>
        <v>0</v>
      </c>
      <c r="J74" s="397">
        <f t="shared" si="4"/>
        <v>15.072000000000001</v>
      </c>
      <c r="K74" s="397">
        <f t="shared" si="12"/>
        <v>0</v>
      </c>
      <c r="L74" s="397">
        <f t="shared" si="6"/>
        <v>12.3873</v>
      </c>
      <c r="M74" s="397">
        <f t="shared" si="13"/>
        <v>0</v>
      </c>
      <c r="N74" s="397">
        <f t="shared" si="8"/>
        <v>10.3149</v>
      </c>
      <c r="O74" s="397">
        <f t="shared" si="14"/>
        <v>0</v>
      </c>
      <c r="P74" s="584"/>
    </row>
    <row r="75" spans="1:16" s="519" customFormat="1" ht="13.5" thickBot="1">
      <c r="A75" s="1172"/>
      <c r="B75" s="583"/>
      <c r="C75" s="297" t="s">
        <v>131</v>
      </c>
      <c r="D75" s="298" t="s">
        <v>217</v>
      </c>
      <c r="E75" s="326">
        <v>821</v>
      </c>
      <c r="F75" s="38">
        <f t="shared" si="0"/>
        <v>492.59999999999997</v>
      </c>
      <c r="G75" s="396">
        <f t="shared" si="10"/>
        <v>0</v>
      </c>
      <c r="H75" s="397">
        <f t="shared" si="2"/>
        <v>41.624699999999997</v>
      </c>
      <c r="I75" s="397">
        <f t="shared" si="11"/>
        <v>0</v>
      </c>
      <c r="J75" s="397">
        <f t="shared" si="4"/>
        <v>15.763199999999999</v>
      </c>
      <c r="K75" s="397">
        <f t="shared" si="12"/>
        <v>0</v>
      </c>
      <c r="L75" s="397">
        <f t="shared" si="6"/>
        <v>12.95538</v>
      </c>
      <c r="M75" s="397">
        <f t="shared" si="13"/>
        <v>0</v>
      </c>
      <c r="N75" s="397">
        <f t="shared" si="8"/>
        <v>10.787939999999999</v>
      </c>
      <c r="O75" s="397">
        <f t="shared" si="14"/>
        <v>0</v>
      </c>
      <c r="P75" s="584"/>
    </row>
    <row r="76" spans="1:16" s="519" customFormat="1" ht="13.5" thickBot="1">
      <c r="A76" s="1172"/>
      <c r="B76" s="583"/>
      <c r="C76" s="297" t="s">
        <v>133</v>
      </c>
      <c r="D76" s="298" t="s">
        <v>134</v>
      </c>
      <c r="E76" s="326">
        <v>690</v>
      </c>
      <c r="F76" s="38">
        <f t="shared" si="0"/>
        <v>414</v>
      </c>
      <c r="G76" s="396">
        <f t="shared" si="10"/>
        <v>0</v>
      </c>
      <c r="H76" s="397">
        <f t="shared" si="2"/>
        <v>34.983000000000004</v>
      </c>
      <c r="I76" s="397">
        <f t="shared" si="11"/>
        <v>0</v>
      </c>
      <c r="J76" s="397">
        <f t="shared" si="4"/>
        <v>13.248000000000001</v>
      </c>
      <c r="K76" s="397">
        <f t="shared" si="12"/>
        <v>0</v>
      </c>
      <c r="L76" s="397">
        <f t="shared" si="6"/>
        <v>10.888199999999999</v>
      </c>
      <c r="M76" s="397">
        <f t="shared" si="13"/>
        <v>0</v>
      </c>
      <c r="N76" s="397">
        <f t="shared" si="8"/>
        <v>9.0665999999999993</v>
      </c>
      <c r="O76" s="397">
        <f t="shared" si="14"/>
        <v>0</v>
      </c>
      <c r="P76" s="584"/>
    </row>
    <row r="77" spans="1:16" s="519" customFormat="1" ht="13.5" thickBot="1">
      <c r="A77" s="1172"/>
      <c r="B77" s="583"/>
      <c r="C77" s="297" t="s">
        <v>135</v>
      </c>
      <c r="D77" s="298" t="s">
        <v>136</v>
      </c>
      <c r="E77" s="326">
        <v>191</v>
      </c>
      <c r="F77" s="38">
        <f t="shared" si="0"/>
        <v>114.6</v>
      </c>
      <c r="G77" s="396">
        <f t="shared" si="10"/>
        <v>0</v>
      </c>
      <c r="H77" s="397">
        <f t="shared" si="2"/>
        <v>9.6837</v>
      </c>
      <c r="I77" s="397">
        <f t="shared" si="11"/>
        <v>0</v>
      </c>
      <c r="J77" s="397">
        <f t="shared" si="4"/>
        <v>3.6671999999999998</v>
      </c>
      <c r="K77" s="397">
        <f t="shared" si="12"/>
        <v>0</v>
      </c>
      <c r="L77" s="397">
        <f t="shared" si="6"/>
        <v>3.0139800000000001</v>
      </c>
      <c r="M77" s="397">
        <f t="shared" si="13"/>
        <v>0</v>
      </c>
      <c r="N77" s="397">
        <f t="shared" si="8"/>
        <v>2.5097399999999999</v>
      </c>
      <c r="O77" s="397">
        <f t="shared" si="14"/>
        <v>0</v>
      </c>
      <c r="P77" s="584"/>
    </row>
    <row r="78" spans="1:16" s="519" customFormat="1" ht="26.25" thickBot="1">
      <c r="A78" s="1172"/>
      <c r="B78" s="585"/>
      <c r="C78" s="297" t="s">
        <v>137</v>
      </c>
      <c r="D78" s="298" t="s">
        <v>3867</v>
      </c>
      <c r="E78" s="326">
        <v>667.8</v>
      </c>
      <c r="F78" s="38">
        <f t="shared" si="0"/>
        <v>400.67999999999995</v>
      </c>
      <c r="G78" s="396">
        <f t="shared" si="10"/>
        <v>0</v>
      </c>
      <c r="H78" s="397">
        <f t="shared" si="2"/>
        <v>33.857459999999996</v>
      </c>
      <c r="I78" s="397">
        <f t="shared" si="11"/>
        <v>0</v>
      </c>
      <c r="J78" s="397">
        <f t="shared" si="4"/>
        <v>12.821759999999999</v>
      </c>
      <c r="K78" s="397">
        <f t="shared" si="12"/>
        <v>0</v>
      </c>
      <c r="L78" s="397">
        <f t="shared" si="6"/>
        <v>10.537883999999998</v>
      </c>
      <c r="M78" s="397">
        <f t="shared" si="13"/>
        <v>0</v>
      </c>
      <c r="N78" s="397">
        <f t="shared" si="8"/>
        <v>8.7748919999999995</v>
      </c>
      <c r="O78" s="397">
        <f t="shared" si="14"/>
        <v>0</v>
      </c>
      <c r="P78" s="584"/>
    </row>
    <row r="79" spans="1:16" s="519" customFormat="1" ht="26.25" thickBot="1">
      <c r="A79" s="1172"/>
      <c r="B79" s="319"/>
      <c r="C79" s="297" t="s">
        <v>249</v>
      </c>
      <c r="D79" s="298" t="s">
        <v>140</v>
      </c>
      <c r="E79" s="326">
        <v>250</v>
      </c>
      <c r="F79" s="38">
        <f t="shared" si="0"/>
        <v>150</v>
      </c>
      <c r="G79" s="396">
        <f t="shared" si="10"/>
        <v>0</v>
      </c>
      <c r="H79" s="397">
        <f t="shared" si="2"/>
        <v>12.675000000000001</v>
      </c>
      <c r="I79" s="397">
        <f t="shared" si="11"/>
        <v>0</v>
      </c>
      <c r="J79" s="397">
        <f t="shared" si="4"/>
        <v>4.8</v>
      </c>
      <c r="K79" s="397">
        <f t="shared" si="12"/>
        <v>0</v>
      </c>
      <c r="L79" s="397">
        <f t="shared" si="6"/>
        <v>3.9450000000000003</v>
      </c>
      <c r="M79" s="397">
        <f t="shared" si="13"/>
        <v>0</v>
      </c>
      <c r="N79" s="397">
        <f t="shared" si="8"/>
        <v>3.2849999999999997</v>
      </c>
      <c r="O79" s="397">
        <f t="shared" si="14"/>
        <v>0</v>
      </c>
      <c r="P79" s="584"/>
    </row>
    <row r="80" spans="1:16" s="519" customFormat="1" ht="13.5" thickBot="1">
      <c r="A80" s="1172"/>
      <c r="B80" s="319"/>
      <c r="C80" s="589" t="s">
        <v>141</v>
      </c>
      <c r="D80" s="590" t="s">
        <v>174</v>
      </c>
      <c r="E80" s="326">
        <v>250</v>
      </c>
      <c r="F80" s="38">
        <f t="shared" si="0"/>
        <v>150</v>
      </c>
      <c r="G80" s="396">
        <f t="shared" si="10"/>
        <v>0</v>
      </c>
      <c r="H80" s="397">
        <f t="shared" si="2"/>
        <v>12.675000000000001</v>
      </c>
      <c r="I80" s="397">
        <f t="shared" si="11"/>
        <v>0</v>
      </c>
      <c r="J80" s="397">
        <f t="shared" si="4"/>
        <v>4.8</v>
      </c>
      <c r="K80" s="397">
        <f t="shared" si="12"/>
        <v>0</v>
      </c>
      <c r="L80" s="397">
        <f t="shared" si="6"/>
        <v>3.9450000000000003</v>
      </c>
      <c r="M80" s="397">
        <f t="shared" si="13"/>
        <v>0</v>
      </c>
      <c r="N80" s="397">
        <f t="shared" si="8"/>
        <v>3.2849999999999997</v>
      </c>
      <c r="O80" s="397">
        <f t="shared" si="14"/>
        <v>0</v>
      </c>
      <c r="P80" s="584"/>
    </row>
    <row r="81" spans="1:16" s="524" customFormat="1" ht="26.25" thickBot="1">
      <c r="A81" s="1172"/>
      <c r="B81" s="583"/>
      <c r="C81" s="589" t="s">
        <v>251</v>
      </c>
      <c r="D81" s="590" t="s">
        <v>3868</v>
      </c>
      <c r="E81" s="326">
        <v>1959</v>
      </c>
      <c r="F81" s="38">
        <f t="shared" si="0"/>
        <v>1175.3999999999999</v>
      </c>
      <c r="G81" s="396">
        <f t="shared" si="10"/>
        <v>0</v>
      </c>
      <c r="H81" s="397">
        <f t="shared" si="2"/>
        <v>99.321299999999994</v>
      </c>
      <c r="I81" s="397">
        <f t="shared" si="11"/>
        <v>0</v>
      </c>
      <c r="J81" s="397">
        <f t="shared" si="4"/>
        <v>37.612799999999993</v>
      </c>
      <c r="K81" s="397">
        <f t="shared" si="12"/>
        <v>0</v>
      </c>
      <c r="L81" s="397">
        <f t="shared" si="6"/>
        <v>30.913019999999996</v>
      </c>
      <c r="M81" s="397">
        <f t="shared" si="13"/>
        <v>0</v>
      </c>
      <c r="N81" s="397">
        <f t="shared" si="8"/>
        <v>25.741259999999997</v>
      </c>
      <c r="O81" s="397">
        <f t="shared" si="14"/>
        <v>0</v>
      </c>
      <c r="P81" s="584"/>
    </row>
    <row r="82" spans="1:16" s="519" customFormat="1" ht="13.5" thickBot="1">
      <c r="A82" s="1172"/>
      <c r="B82" s="583"/>
      <c r="C82" s="591" t="s">
        <v>252</v>
      </c>
      <c r="D82" s="592" t="s">
        <v>3869</v>
      </c>
      <c r="E82" s="593">
        <v>996.17</v>
      </c>
      <c r="F82" s="38">
        <f t="shared" si="0"/>
        <v>597.702</v>
      </c>
      <c r="G82" s="396">
        <f t="shared" si="10"/>
        <v>0</v>
      </c>
      <c r="H82" s="397">
        <f t="shared" si="2"/>
        <v>50.505819000000002</v>
      </c>
      <c r="I82" s="397">
        <f t="shared" si="11"/>
        <v>0</v>
      </c>
      <c r="J82" s="397">
        <f t="shared" si="4"/>
        <v>19.126463999999999</v>
      </c>
      <c r="K82" s="397">
        <f t="shared" si="12"/>
        <v>0</v>
      </c>
      <c r="L82" s="397">
        <f t="shared" si="6"/>
        <v>15.7195626</v>
      </c>
      <c r="M82" s="397">
        <f t="shared" si="13"/>
        <v>0</v>
      </c>
      <c r="N82" s="397">
        <f t="shared" si="8"/>
        <v>13.0896738</v>
      </c>
      <c r="O82" s="397">
        <f t="shared" si="14"/>
        <v>0</v>
      </c>
      <c r="P82" s="584"/>
    </row>
    <row r="83" spans="1:16" s="524" customFormat="1" ht="13.5" thickBot="1">
      <c r="A83" s="1172"/>
      <c r="B83" s="319"/>
      <c r="C83" s="297" t="s">
        <v>218</v>
      </c>
      <c r="D83" s="298" t="s">
        <v>253</v>
      </c>
      <c r="E83" s="326">
        <v>70.62</v>
      </c>
      <c r="F83" s="38">
        <f t="shared" si="0"/>
        <v>42.372</v>
      </c>
      <c r="G83" s="396">
        <f t="shared" si="10"/>
        <v>0</v>
      </c>
      <c r="H83" s="397">
        <f t="shared" si="2"/>
        <v>3.5804340000000003</v>
      </c>
      <c r="I83" s="397">
        <f t="shared" si="11"/>
        <v>0</v>
      </c>
      <c r="J83" s="397">
        <f t="shared" si="4"/>
        <v>1.355904</v>
      </c>
      <c r="K83" s="397">
        <f t="shared" si="12"/>
        <v>0</v>
      </c>
      <c r="L83" s="397">
        <f t="shared" si="6"/>
        <v>1.1143836</v>
      </c>
      <c r="M83" s="397">
        <f t="shared" si="13"/>
        <v>0</v>
      </c>
      <c r="N83" s="397">
        <f t="shared" si="8"/>
        <v>0.92794679999999996</v>
      </c>
      <c r="O83" s="397">
        <f t="shared" si="14"/>
        <v>0</v>
      </c>
      <c r="P83" s="584"/>
    </row>
    <row r="84" spans="1:16" s="519" customFormat="1" ht="13.5" thickBot="1">
      <c r="A84" s="1172"/>
      <c r="B84" s="585"/>
      <c r="C84" s="297" t="s">
        <v>3870</v>
      </c>
      <c r="D84" s="298" t="s">
        <v>433</v>
      </c>
      <c r="E84" s="326">
        <v>131.61000000000001</v>
      </c>
      <c r="F84" s="38">
        <f t="shared" si="0"/>
        <v>78.966000000000008</v>
      </c>
      <c r="G84" s="396">
        <f t="shared" si="10"/>
        <v>0</v>
      </c>
      <c r="H84" s="397">
        <f t="shared" si="2"/>
        <v>6.6726270000000012</v>
      </c>
      <c r="I84" s="397">
        <f t="shared" si="11"/>
        <v>0</v>
      </c>
      <c r="J84" s="397">
        <f t="shared" si="4"/>
        <v>2.5269120000000003</v>
      </c>
      <c r="K84" s="397">
        <f t="shared" si="12"/>
        <v>0</v>
      </c>
      <c r="L84" s="397">
        <f t="shared" si="6"/>
        <v>2.0768058000000003</v>
      </c>
      <c r="M84" s="397">
        <f t="shared" si="13"/>
        <v>0</v>
      </c>
      <c r="N84" s="397">
        <f t="shared" si="8"/>
        <v>1.7293554000000002</v>
      </c>
      <c r="O84" s="397">
        <f t="shared" si="14"/>
        <v>0</v>
      </c>
      <c r="P84" s="584"/>
    </row>
    <row r="85" spans="1:16" s="315" customFormat="1" ht="13.5" thickBot="1">
      <c r="A85" s="1172"/>
      <c r="B85" s="319"/>
      <c r="C85" s="297" t="s">
        <v>3871</v>
      </c>
      <c r="D85" s="298" t="s">
        <v>385</v>
      </c>
      <c r="E85" s="326">
        <v>1075.3499999999999</v>
      </c>
      <c r="F85" s="38">
        <f t="shared" si="0"/>
        <v>645.20999999999992</v>
      </c>
      <c r="G85" s="396">
        <f t="shared" si="10"/>
        <v>0</v>
      </c>
      <c r="H85" s="397">
        <f t="shared" si="2"/>
        <v>54.520244999999996</v>
      </c>
      <c r="I85" s="397">
        <f t="shared" si="11"/>
        <v>0</v>
      </c>
      <c r="J85" s="397">
        <f t="shared" si="4"/>
        <v>20.646719999999998</v>
      </c>
      <c r="K85" s="397">
        <f t="shared" si="12"/>
        <v>0</v>
      </c>
      <c r="L85" s="397">
        <f t="shared" si="6"/>
        <v>16.969023</v>
      </c>
      <c r="M85" s="397">
        <f t="shared" si="13"/>
        <v>0</v>
      </c>
      <c r="N85" s="397">
        <f t="shared" si="8"/>
        <v>14.130098999999998</v>
      </c>
      <c r="O85" s="397">
        <f t="shared" si="14"/>
        <v>0</v>
      </c>
      <c r="P85" s="584"/>
    </row>
    <row r="86" spans="1:16" s="315" customFormat="1" ht="13.5" thickBot="1">
      <c r="A86" s="1172"/>
      <c r="B86" s="585"/>
      <c r="C86" s="297" t="s">
        <v>3872</v>
      </c>
      <c r="D86" s="298" t="s">
        <v>386</v>
      </c>
      <c r="E86" s="326">
        <v>1402.77</v>
      </c>
      <c r="F86" s="38">
        <f t="shared" si="0"/>
        <v>841.66199999999992</v>
      </c>
      <c r="G86" s="396">
        <f t="shared" si="10"/>
        <v>0</v>
      </c>
      <c r="H86" s="397">
        <f t="shared" si="2"/>
        <v>71.120439000000005</v>
      </c>
      <c r="I86" s="397">
        <f t="shared" si="11"/>
        <v>0</v>
      </c>
      <c r="J86" s="397">
        <f t="shared" si="4"/>
        <v>26.933183999999997</v>
      </c>
      <c r="K86" s="397">
        <f t="shared" si="12"/>
        <v>0</v>
      </c>
      <c r="L86" s="397">
        <f t="shared" si="6"/>
        <v>22.135710599999999</v>
      </c>
      <c r="M86" s="397">
        <f t="shared" si="13"/>
        <v>0</v>
      </c>
      <c r="N86" s="397">
        <f t="shared" si="8"/>
        <v>18.432397799999997</v>
      </c>
      <c r="O86" s="397">
        <f t="shared" si="14"/>
        <v>0</v>
      </c>
      <c r="P86" s="584"/>
    </row>
    <row r="87" spans="1:16" s="315" customFormat="1" ht="13.5" thickBot="1">
      <c r="A87" s="1172"/>
      <c r="B87" s="585"/>
      <c r="C87" s="297" t="s">
        <v>3873</v>
      </c>
      <c r="D87" s="298" t="s">
        <v>387</v>
      </c>
      <c r="E87" s="326">
        <v>1651.01</v>
      </c>
      <c r="F87" s="38">
        <f t="shared" si="0"/>
        <v>990.60599999999999</v>
      </c>
      <c r="G87" s="396">
        <f t="shared" si="10"/>
        <v>0</v>
      </c>
      <c r="H87" s="397">
        <f t="shared" si="2"/>
        <v>83.706207000000006</v>
      </c>
      <c r="I87" s="397">
        <f t="shared" si="11"/>
        <v>0</v>
      </c>
      <c r="J87" s="397">
        <f t="shared" si="4"/>
        <v>31.699392</v>
      </c>
      <c r="K87" s="397">
        <f t="shared" si="12"/>
        <v>0</v>
      </c>
      <c r="L87" s="397">
        <f t="shared" si="6"/>
        <v>26.052937799999999</v>
      </c>
      <c r="M87" s="397">
        <f t="shared" si="13"/>
        <v>0</v>
      </c>
      <c r="N87" s="397">
        <f t="shared" si="8"/>
        <v>21.694271399999998</v>
      </c>
      <c r="O87" s="397">
        <f t="shared" si="14"/>
        <v>0</v>
      </c>
      <c r="P87" s="584"/>
    </row>
    <row r="88" spans="1:16" s="315" customFormat="1" ht="13.5" thickBot="1">
      <c r="A88" s="1172"/>
      <c r="B88" s="585"/>
      <c r="C88" s="586" t="s">
        <v>254</v>
      </c>
      <c r="D88" s="298" t="s">
        <v>3874</v>
      </c>
      <c r="E88" s="326">
        <v>1964.52</v>
      </c>
      <c r="F88" s="38">
        <f t="shared" si="0"/>
        <v>1178.712</v>
      </c>
      <c r="G88" s="396">
        <f t="shared" si="10"/>
        <v>0</v>
      </c>
      <c r="H88" s="397">
        <f t="shared" si="2"/>
        <v>99.601164000000011</v>
      </c>
      <c r="I88" s="397">
        <f t="shared" si="11"/>
        <v>0</v>
      </c>
      <c r="J88" s="397">
        <f t="shared" si="4"/>
        <v>37.718783999999999</v>
      </c>
      <c r="K88" s="397">
        <f t="shared" si="12"/>
        <v>0</v>
      </c>
      <c r="L88" s="397">
        <f t="shared" si="6"/>
        <v>31.000125600000001</v>
      </c>
      <c r="M88" s="397">
        <f t="shared" si="13"/>
        <v>0</v>
      </c>
      <c r="N88" s="397">
        <f t="shared" si="8"/>
        <v>25.813792799999998</v>
      </c>
      <c r="O88" s="397">
        <f t="shared" si="14"/>
        <v>0</v>
      </c>
      <c r="P88" s="584"/>
    </row>
    <row r="89" spans="1:16" s="315" customFormat="1" ht="13.5" thickBot="1">
      <c r="A89" s="1172"/>
      <c r="B89" s="585"/>
      <c r="C89" s="297" t="s">
        <v>256</v>
      </c>
      <c r="D89" s="298" t="s">
        <v>3875</v>
      </c>
      <c r="E89" s="326">
        <v>690.15</v>
      </c>
      <c r="F89" s="38">
        <f t="shared" si="0"/>
        <v>414.09</v>
      </c>
      <c r="G89" s="396">
        <f t="shared" si="10"/>
        <v>0</v>
      </c>
      <c r="H89" s="397">
        <f t="shared" si="2"/>
        <v>34.990605000000002</v>
      </c>
      <c r="I89" s="397">
        <f t="shared" si="11"/>
        <v>0</v>
      </c>
      <c r="J89" s="397">
        <f t="shared" si="4"/>
        <v>13.250879999999999</v>
      </c>
      <c r="K89" s="397">
        <f t="shared" si="12"/>
        <v>0</v>
      </c>
      <c r="L89" s="397">
        <f t="shared" si="6"/>
        <v>10.890566999999999</v>
      </c>
      <c r="M89" s="397">
        <f t="shared" si="13"/>
        <v>0</v>
      </c>
      <c r="N89" s="397">
        <f t="shared" si="8"/>
        <v>9.0685709999999986</v>
      </c>
      <c r="O89" s="397">
        <f t="shared" si="14"/>
        <v>0</v>
      </c>
      <c r="P89" s="584"/>
    </row>
    <row r="90" spans="1:16" s="315" customFormat="1" ht="13.5" thickBot="1">
      <c r="A90" s="1172"/>
      <c r="B90" s="585"/>
      <c r="C90" s="297" t="s">
        <v>3876</v>
      </c>
      <c r="D90" s="298" t="s">
        <v>3877</v>
      </c>
      <c r="E90" s="326">
        <v>690.15</v>
      </c>
      <c r="F90" s="38">
        <f t="shared" si="0"/>
        <v>414.09</v>
      </c>
      <c r="G90" s="396">
        <f t="shared" si="10"/>
        <v>0</v>
      </c>
      <c r="H90" s="397">
        <f t="shared" si="2"/>
        <v>34.990605000000002</v>
      </c>
      <c r="I90" s="397">
        <f t="shared" si="11"/>
        <v>0</v>
      </c>
      <c r="J90" s="397">
        <f t="shared" si="4"/>
        <v>13.250879999999999</v>
      </c>
      <c r="K90" s="397">
        <f t="shared" si="12"/>
        <v>0</v>
      </c>
      <c r="L90" s="397">
        <f t="shared" si="6"/>
        <v>10.890566999999999</v>
      </c>
      <c r="M90" s="397">
        <f t="shared" si="13"/>
        <v>0</v>
      </c>
      <c r="N90" s="397">
        <f t="shared" si="8"/>
        <v>9.0685709999999986</v>
      </c>
      <c r="O90" s="397">
        <f t="shared" si="14"/>
        <v>0</v>
      </c>
      <c r="P90" s="584"/>
    </row>
    <row r="91" spans="1:16" s="519" customFormat="1" ht="13.5" thickBot="1">
      <c r="A91" s="1172"/>
      <c r="B91" s="319"/>
      <c r="C91" s="297" t="s">
        <v>257</v>
      </c>
      <c r="D91" s="298" t="s">
        <v>3878</v>
      </c>
      <c r="E91" s="326">
        <v>1348</v>
      </c>
      <c r="F91" s="38">
        <f t="shared" si="0"/>
        <v>808.8</v>
      </c>
      <c r="G91" s="396">
        <f t="shared" si="10"/>
        <v>0</v>
      </c>
      <c r="H91" s="397">
        <f t="shared" si="2"/>
        <v>68.343599999999995</v>
      </c>
      <c r="I91" s="397">
        <f t="shared" si="11"/>
        <v>0</v>
      </c>
      <c r="J91" s="397">
        <f t="shared" si="4"/>
        <v>25.881599999999999</v>
      </c>
      <c r="K91" s="397">
        <f t="shared" si="12"/>
        <v>0</v>
      </c>
      <c r="L91" s="397">
        <f t="shared" si="6"/>
        <v>21.271439999999998</v>
      </c>
      <c r="M91" s="397">
        <f t="shared" si="13"/>
        <v>0</v>
      </c>
      <c r="N91" s="397">
        <f t="shared" si="8"/>
        <v>17.712719999999997</v>
      </c>
      <c r="O91" s="397">
        <f t="shared" si="14"/>
        <v>0</v>
      </c>
      <c r="P91" s="584"/>
    </row>
    <row r="92" spans="1:16" s="524" customFormat="1" ht="13.5" thickBot="1">
      <c r="A92" s="1172"/>
      <c r="B92" s="585"/>
      <c r="C92" s="297" t="s">
        <v>259</v>
      </c>
      <c r="D92" s="298" t="s">
        <v>436</v>
      </c>
      <c r="E92" s="326">
        <v>32.1</v>
      </c>
      <c r="F92" s="38">
        <f t="shared" si="0"/>
        <v>19.260000000000002</v>
      </c>
      <c r="G92" s="396">
        <f t="shared" si="10"/>
        <v>0</v>
      </c>
      <c r="H92" s="397">
        <f t="shared" si="2"/>
        <v>1.6274700000000002</v>
      </c>
      <c r="I92" s="397">
        <f t="shared" si="11"/>
        <v>0</v>
      </c>
      <c r="J92" s="397">
        <f t="shared" si="4"/>
        <v>0.61632000000000009</v>
      </c>
      <c r="K92" s="397">
        <f t="shared" si="12"/>
        <v>0</v>
      </c>
      <c r="L92" s="397">
        <f t="shared" si="6"/>
        <v>0.50653800000000004</v>
      </c>
      <c r="M92" s="397">
        <f t="shared" si="13"/>
        <v>0</v>
      </c>
      <c r="N92" s="397">
        <f t="shared" si="8"/>
        <v>0.421794</v>
      </c>
      <c r="O92" s="397">
        <f t="shared" si="14"/>
        <v>0</v>
      </c>
      <c r="P92" s="584"/>
    </row>
    <row r="93" spans="1:16" s="519" customFormat="1" ht="13.5" thickBot="1">
      <c r="A93" s="1172"/>
      <c r="B93" s="583"/>
      <c r="C93" s="297" t="s">
        <v>527</v>
      </c>
      <c r="D93" s="298" t="s">
        <v>224</v>
      </c>
      <c r="E93" s="326">
        <v>35.31</v>
      </c>
      <c r="F93" s="38">
        <f t="shared" si="0"/>
        <v>21.186</v>
      </c>
      <c r="G93" s="396">
        <f t="shared" si="10"/>
        <v>0</v>
      </c>
      <c r="H93" s="397">
        <f t="shared" si="2"/>
        <v>1.7902170000000002</v>
      </c>
      <c r="I93" s="397">
        <f t="shared" si="11"/>
        <v>0</v>
      </c>
      <c r="J93" s="397">
        <f t="shared" si="4"/>
        <v>0.677952</v>
      </c>
      <c r="K93" s="397">
        <f t="shared" si="12"/>
        <v>0</v>
      </c>
      <c r="L93" s="397">
        <f t="shared" si="6"/>
        <v>0.55719180000000001</v>
      </c>
      <c r="M93" s="397">
        <f t="shared" si="13"/>
        <v>0</v>
      </c>
      <c r="N93" s="397">
        <f t="shared" si="8"/>
        <v>0.46397339999999998</v>
      </c>
      <c r="O93" s="397">
        <f t="shared" si="14"/>
        <v>0</v>
      </c>
      <c r="P93" s="584"/>
    </row>
    <row r="94" spans="1:16" s="315" customFormat="1" ht="13.5" thickBot="1">
      <c r="A94" s="1172"/>
      <c r="B94" s="583"/>
      <c r="C94" s="297" t="s">
        <v>530</v>
      </c>
      <c r="D94" s="298" t="s">
        <v>3879</v>
      </c>
      <c r="E94" s="326">
        <v>306.02</v>
      </c>
      <c r="F94" s="38">
        <f t="shared" si="0"/>
        <v>183.61199999999999</v>
      </c>
      <c r="G94" s="396">
        <f t="shared" si="10"/>
        <v>0</v>
      </c>
      <c r="H94" s="397">
        <f t="shared" si="2"/>
        <v>15.515214</v>
      </c>
      <c r="I94" s="397">
        <f t="shared" si="11"/>
        <v>0</v>
      </c>
      <c r="J94" s="397">
        <f t="shared" si="4"/>
        <v>5.8755839999999999</v>
      </c>
      <c r="K94" s="397">
        <f t="shared" si="12"/>
        <v>0</v>
      </c>
      <c r="L94" s="397">
        <f t="shared" si="6"/>
        <v>4.8289955999999998</v>
      </c>
      <c r="M94" s="397">
        <f t="shared" si="13"/>
        <v>0</v>
      </c>
      <c r="N94" s="397">
        <f t="shared" si="8"/>
        <v>4.0211027999999995</v>
      </c>
      <c r="O94" s="397">
        <f t="shared" si="14"/>
        <v>0</v>
      </c>
      <c r="P94" s="584"/>
    </row>
    <row r="95" spans="1:16" s="315" customFormat="1" ht="13.5" thickBot="1">
      <c r="A95" s="1172"/>
      <c r="B95" s="585"/>
      <c r="C95" s="297" t="s">
        <v>299</v>
      </c>
      <c r="D95" s="298" t="s">
        <v>437</v>
      </c>
      <c r="E95" s="326">
        <v>348.82</v>
      </c>
      <c r="F95" s="38">
        <f t="shared" si="0"/>
        <v>209.292</v>
      </c>
      <c r="G95" s="396">
        <f t="shared" si="10"/>
        <v>0</v>
      </c>
      <c r="H95" s="397">
        <f t="shared" si="2"/>
        <v>17.685174</v>
      </c>
      <c r="I95" s="397">
        <f t="shared" si="11"/>
        <v>0</v>
      </c>
      <c r="J95" s="397">
        <f t="shared" si="4"/>
        <v>6.6973440000000002</v>
      </c>
      <c r="K95" s="397">
        <f t="shared" si="12"/>
        <v>0</v>
      </c>
      <c r="L95" s="397">
        <f t="shared" si="6"/>
        <v>5.5043796</v>
      </c>
      <c r="M95" s="397">
        <f t="shared" si="13"/>
        <v>0</v>
      </c>
      <c r="N95" s="397">
        <f t="shared" si="8"/>
        <v>4.5834947999999995</v>
      </c>
      <c r="O95" s="397">
        <f t="shared" si="14"/>
        <v>0</v>
      </c>
      <c r="P95" s="584"/>
    </row>
    <row r="96" spans="1:16" s="315" customFormat="1" ht="13.5" thickBot="1">
      <c r="A96" s="1173"/>
      <c r="B96" s="583"/>
      <c r="C96" s="297" t="s">
        <v>3880</v>
      </c>
      <c r="D96" s="298" t="s">
        <v>225</v>
      </c>
      <c r="E96" s="326">
        <v>132.68</v>
      </c>
      <c r="F96" s="38">
        <f t="shared" si="0"/>
        <v>79.608000000000004</v>
      </c>
      <c r="G96" s="396">
        <f t="shared" si="10"/>
        <v>0</v>
      </c>
      <c r="H96" s="397">
        <f t="shared" si="2"/>
        <v>6.7268760000000007</v>
      </c>
      <c r="I96" s="397">
        <f t="shared" si="11"/>
        <v>0</v>
      </c>
      <c r="J96" s="397">
        <f t="shared" si="4"/>
        <v>2.5474560000000004</v>
      </c>
      <c r="K96" s="397">
        <f t="shared" si="12"/>
        <v>0</v>
      </c>
      <c r="L96" s="397">
        <f t="shared" si="6"/>
        <v>2.0936904000000003</v>
      </c>
      <c r="M96" s="397">
        <f t="shared" si="13"/>
        <v>0</v>
      </c>
      <c r="N96" s="397">
        <f t="shared" si="8"/>
        <v>1.7434152000000001</v>
      </c>
      <c r="O96" s="397">
        <f t="shared" si="14"/>
        <v>0</v>
      </c>
      <c r="P96" s="584"/>
    </row>
    <row r="97" spans="1:15" s="315" customFormat="1" ht="15">
      <c r="C97" s="572"/>
      <c r="D97" s="1008" t="s">
        <v>65</v>
      </c>
      <c r="E97" s="1088"/>
      <c r="F97" s="1088"/>
      <c r="G97" s="520">
        <f t="array" ref="G97">SUM(G52:G96)+G40:G52:G96+G44:G52:G96+G48</f>
        <v>0</v>
      </c>
      <c r="H97" s="329" t="s">
        <v>66</v>
      </c>
      <c r="I97" s="520">
        <f t="array" ref="I97">SUM(I52:I96)+I40:I52:I96+I44:I52:I96+I48</f>
        <v>0</v>
      </c>
      <c r="J97" s="329" t="s">
        <v>67</v>
      </c>
      <c r="K97" s="520">
        <f t="array" ref="K97">SUM(K52:K96)+K40:K52:K96+K44:K52:K96+K48</f>
        <v>0</v>
      </c>
      <c r="L97" s="329" t="s">
        <v>68</v>
      </c>
      <c r="M97" s="520">
        <f t="array" ref="M97">SUM(M52:M96)+M40:M52:M96+M44:M52:M96+M48</f>
        <v>0</v>
      </c>
      <c r="N97" s="329" t="s">
        <v>69</v>
      </c>
      <c r="O97" s="520">
        <f t="array" ref="O97">SUM(O52:O96)+O40:O52:O96+O44:O52:O96+O48</f>
        <v>0</v>
      </c>
    </row>
    <row r="98" spans="1:15" s="315" customFormat="1" ht="14.25">
      <c r="C98" s="574"/>
      <c r="F98" s="456"/>
      <c r="G98" s="331"/>
    </row>
    <row r="99" spans="1:15" s="315" customFormat="1">
      <c r="C99" s="256"/>
      <c r="F99" s="456"/>
    </row>
    <row r="100" spans="1:15" ht="18">
      <c r="A100" s="595"/>
    </row>
    <row r="101" spans="1:15" ht="18">
      <c r="A101" s="595"/>
    </row>
    <row r="118" spans="3:3">
      <c r="C118" s="258"/>
    </row>
  </sheetData>
  <mergeCells count="59">
    <mergeCell ref="A51:O51"/>
    <mergeCell ref="A52:A96"/>
    <mergeCell ref="D97:F97"/>
    <mergeCell ref="A48:A50"/>
    <mergeCell ref="B48:B50"/>
    <mergeCell ref="G48:G50"/>
    <mergeCell ref="I48:I50"/>
    <mergeCell ref="K48:K50"/>
    <mergeCell ref="M48:M50"/>
    <mergeCell ref="O48:O50"/>
    <mergeCell ref="O40:O42"/>
    <mergeCell ref="A37:C37"/>
    <mergeCell ref="A38:C38"/>
    <mergeCell ref="M44:M46"/>
    <mergeCell ref="O44:O46"/>
    <mergeCell ref="A40:A42"/>
    <mergeCell ref="B40:B42"/>
    <mergeCell ref="G40:G42"/>
    <mergeCell ref="I40:I42"/>
    <mergeCell ref="K40:K42"/>
    <mergeCell ref="M40:M42"/>
    <mergeCell ref="A44:A46"/>
    <mergeCell ref="B44:B46"/>
    <mergeCell ref="G44:G46"/>
    <mergeCell ref="I44:I46"/>
    <mergeCell ref="K44:K46"/>
    <mergeCell ref="A32:C32"/>
    <mergeCell ref="E32:H32"/>
    <mergeCell ref="I32:J32"/>
    <mergeCell ref="I34:K36"/>
    <mergeCell ref="F38:H38"/>
    <mergeCell ref="I38:O38"/>
    <mergeCell ref="N29:O29"/>
    <mergeCell ref="A31:C31"/>
    <mergeCell ref="E31:H31"/>
    <mergeCell ref="I31:J31"/>
    <mergeCell ref="K31:M31"/>
    <mergeCell ref="N31:O31"/>
    <mergeCell ref="A28:D28"/>
    <mergeCell ref="E28:J28"/>
    <mergeCell ref="K28:O28"/>
    <mergeCell ref="A35:D35"/>
    <mergeCell ref="A36:C36"/>
    <mergeCell ref="K32:M32"/>
    <mergeCell ref="A30:C30"/>
    <mergeCell ref="E30:H30"/>
    <mergeCell ref="I30:J30"/>
    <mergeCell ref="K30:M30"/>
    <mergeCell ref="N30:O30"/>
    <mergeCell ref="N32:O32"/>
    <mergeCell ref="A29:C29"/>
    <mergeCell ref="E29:H29"/>
    <mergeCell ref="I29:J29"/>
    <mergeCell ref="K29:M29"/>
    <mergeCell ref="A4:O4"/>
    <mergeCell ref="A5:O5"/>
    <mergeCell ref="H9:J9"/>
    <mergeCell ref="D23:D24"/>
    <mergeCell ref="A27:O27"/>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557D-F27F-4511-9C7E-C6DA88815594}">
  <sheetPr>
    <tabColor indexed="62"/>
  </sheetPr>
  <dimension ref="A1:R119"/>
  <sheetViews>
    <sheetView topLeftCell="A29" zoomScale="87" zoomScaleNormal="87" workbookViewId="0">
      <selection activeCell="E37" sqref="E37:F37"/>
    </sheetView>
  </sheetViews>
  <sheetFormatPr defaultColWidth="9.140625" defaultRowHeight="12.75"/>
  <cols>
    <col min="1" max="1" width="15.140625" style="256" customWidth="1"/>
    <col min="2" max="2" width="9.7109375" style="256" customWidth="1"/>
    <col min="3" max="3" width="20.42578125" style="256" customWidth="1"/>
    <col min="4" max="4" width="50.42578125" style="256" customWidth="1"/>
    <col min="5" max="5" width="15.140625" style="256" customWidth="1"/>
    <col min="6" max="6" width="14.5703125" style="661" customWidth="1"/>
    <col min="7" max="7" width="16.140625" style="256" customWidth="1"/>
    <col min="8" max="8" width="22.85546875" style="256" customWidth="1"/>
    <col min="9" max="9" width="21" style="256" customWidth="1"/>
    <col min="10" max="10" width="22.7109375" style="256" customWidth="1"/>
    <col min="11" max="11" width="20.85546875" style="256" customWidth="1"/>
    <col min="12" max="12" width="24" style="256" customWidth="1"/>
    <col min="13" max="13" width="19.7109375" style="256" customWidth="1"/>
    <col min="14" max="14" width="22.5703125" style="256" customWidth="1"/>
    <col min="15" max="15" width="19.7109375" style="256" customWidth="1"/>
    <col min="16" max="16" width="12.42578125" style="256" customWidth="1"/>
    <col min="17" max="26" width="8.85546875" style="256" customWidth="1"/>
    <col min="27" max="16384" width="9.140625" style="256"/>
  </cols>
  <sheetData>
    <row r="1" spans="1:18" ht="9" customHeight="1" thickBot="1">
      <c r="B1" s="257"/>
      <c r="C1" s="257"/>
      <c r="D1" s="258"/>
      <c r="E1" s="258"/>
      <c r="F1" s="259"/>
      <c r="G1" s="265"/>
      <c r="H1" s="259"/>
      <c r="I1" s="265"/>
      <c r="J1" s="265"/>
      <c r="K1" s="265"/>
      <c r="L1" s="265"/>
      <c r="M1" s="265"/>
    </row>
    <row r="2" spans="1:18" ht="10.5" customHeight="1">
      <c r="A2" s="260"/>
      <c r="B2" s="261"/>
      <c r="C2" s="261"/>
      <c r="D2" s="262"/>
      <c r="E2" s="262"/>
      <c r="F2" s="263"/>
      <c r="G2" s="264"/>
      <c r="H2" s="263"/>
      <c r="I2" s="264"/>
      <c r="J2" s="264"/>
      <c r="K2" s="264"/>
      <c r="L2" s="264"/>
      <c r="M2" s="260"/>
      <c r="N2" s="260"/>
      <c r="O2" s="260"/>
    </row>
    <row r="3" spans="1:18" ht="36" customHeight="1">
      <c r="A3" s="1043" t="s">
        <v>356</v>
      </c>
      <c r="B3" s="1020"/>
      <c r="C3" s="1020"/>
      <c r="D3" s="1020"/>
      <c r="E3" s="1020"/>
      <c r="F3" s="1020"/>
      <c r="G3" s="1020"/>
      <c r="H3" s="1020"/>
      <c r="I3" s="1020"/>
      <c r="J3" s="1020"/>
      <c r="K3" s="1020"/>
      <c r="L3" s="1020"/>
      <c r="M3" s="1020"/>
      <c r="N3" s="1020"/>
      <c r="O3" s="1020"/>
    </row>
    <row r="4" spans="1:18" s="266" customFormat="1" ht="45.75" customHeight="1">
      <c r="A4" s="1044" t="s">
        <v>357</v>
      </c>
      <c r="B4" s="1045"/>
      <c r="C4" s="1045"/>
      <c r="D4" s="1045"/>
      <c r="E4" s="1045"/>
      <c r="F4" s="1045"/>
      <c r="G4" s="1045"/>
      <c r="H4" s="1045"/>
      <c r="I4" s="1045"/>
      <c r="J4" s="1045"/>
      <c r="K4" s="1045"/>
      <c r="L4" s="1045"/>
      <c r="M4" s="1045"/>
      <c r="N4" s="1045"/>
      <c r="O4" s="1045"/>
    </row>
    <row r="5" spans="1:18" ht="9" customHeight="1" thickBot="1">
      <c r="A5" s="267"/>
      <c r="B5" s="267"/>
      <c r="C5" s="642"/>
      <c r="D5" s="642"/>
      <c r="E5" s="642"/>
      <c r="F5" s="642"/>
      <c r="G5" s="642"/>
      <c r="H5" s="642"/>
      <c r="I5" s="642"/>
      <c r="J5" s="642"/>
      <c r="K5" s="642"/>
      <c r="L5" s="267"/>
      <c r="M5" s="506"/>
      <c r="N5" s="267"/>
      <c r="O5" s="267"/>
    </row>
    <row r="7" spans="1:18" s="265" customFormat="1" ht="14.25">
      <c r="B7" s="268"/>
      <c r="C7" s="268"/>
      <c r="D7" s="269"/>
      <c r="E7" s="269"/>
      <c r="F7" s="643"/>
      <c r="G7" s="269"/>
      <c r="H7" s="269"/>
      <c r="I7" s="269"/>
      <c r="J7" s="269"/>
      <c r="K7" s="269"/>
      <c r="L7" s="269"/>
      <c r="M7" s="269"/>
      <c r="N7" s="269"/>
      <c r="O7" s="269"/>
      <c r="P7" s="269"/>
      <c r="Q7" s="269"/>
      <c r="R7" s="269"/>
    </row>
    <row r="8" spans="1:18" s="265" customFormat="1" ht="14.25">
      <c r="F8" s="644"/>
      <c r="G8" s="644"/>
      <c r="H8" s="1179" t="s">
        <v>0</v>
      </c>
      <c r="I8" s="1179"/>
      <c r="J8" s="1179"/>
      <c r="K8" s="1179"/>
    </row>
    <row r="9" spans="1:18" s="265" customFormat="1" ht="14.25">
      <c r="F9" s="645"/>
      <c r="H9" s="275" t="s">
        <v>1</v>
      </c>
      <c r="I9" s="265" t="s">
        <v>179</v>
      </c>
      <c r="J9" s="157"/>
      <c r="K9" s="157"/>
      <c r="L9" s="273"/>
      <c r="M9" s="315"/>
    </row>
    <row r="10" spans="1:18" s="265" customFormat="1">
      <c r="F10" s="645"/>
      <c r="G10" s="282"/>
      <c r="H10" s="270" t="s">
        <v>3</v>
      </c>
      <c r="I10" s="282" t="s">
        <v>228</v>
      </c>
      <c r="J10" s="185"/>
      <c r="K10" s="157"/>
      <c r="M10" s="270"/>
    </row>
    <row r="11" spans="1:18" s="265" customFormat="1" ht="12.75" customHeight="1">
      <c r="F11" s="644"/>
      <c r="G11" s="548"/>
      <c r="H11" s="270" t="s">
        <v>7</v>
      </c>
      <c r="I11" s="556">
        <v>200000</v>
      </c>
      <c r="J11" s="370"/>
      <c r="K11" s="157"/>
      <c r="M11" s="270"/>
    </row>
    <row r="12" spans="1:18" s="265" customFormat="1">
      <c r="F12" s="644"/>
      <c r="G12" s="282"/>
      <c r="H12" s="270" t="s">
        <v>8</v>
      </c>
      <c r="I12" s="265" t="s">
        <v>358</v>
      </c>
      <c r="J12" s="185"/>
      <c r="K12" s="157"/>
      <c r="L12" s="282"/>
      <c r="M12" s="270"/>
    </row>
    <row r="13" spans="1:18" s="265" customFormat="1">
      <c r="B13" s="508"/>
      <c r="C13" s="508"/>
      <c r="F13" s="644"/>
      <c r="H13" s="270" t="s">
        <v>10</v>
      </c>
      <c r="I13" s="265" t="s">
        <v>182</v>
      </c>
      <c r="J13" s="157"/>
      <c r="K13" s="157"/>
      <c r="M13" s="270"/>
    </row>
    <row r="14" spans="1:18" s="265" customFormat="1">
      <c r="F14" s="644"/>
      <c r="H14" s="270" t="s">
        <v>183</v>
      </c>
      <c r="I14" s="265" t="s">
        <v>359</v>
      </c>
      <c r="J14" s="157"/>
      <c r="K14" s="157"/>
      <c r="M14" s="270"/>
    </row>
    <row r="15" spans="1:18" s="265" customFormat="1">
      <c r="F15" s="644"/>
      <c r="H15" s="270" t="s">
        <v>185</v>
      </c>
      <c r="I15" s="265" t="s">
        <v>360</v>
      </c>
      <c r="J15" s="157"/>
      <c r="K15" s="157"/>
      <c r="M15" s="270"/>
    </row>
    <row r="16" spans="1:18" s="265" customFormat="1">
      <c r="F16" s="526"/>
      <c r="H16" s="270" t="s">
        <v>14</v>
      </c>
      <c r="I16" s="265" t="s">
        <v>15</v>
      </c>
      <c r="J16" s="157"/>
      <c r="K16" s="157"/>
      <c r="M16" s="270"/>
    </row>
    <row r="17" spans="1:15" s="265" customFormat="1">
      <c r="F17" s="644"/>
      <c r="I17" s="265" t="s">
        <v>187</v>
      </c>
      <c r="J17" s="157"/>
      <c r="K17" s="157"/>
      <c r="M17" s="270"/>
    </row>
    <row r="18" spans="1:15" s="265" customFormat="1">
      <c r="F18" s="644"/>
      <c r="I18" s="265" t="s">
        <v>188</v>
      </c>
      <c r="J18" s="157"/>
      <c r="K18" s="157"/>
      <c r="M18" s="270"/>
    </row>
    <row r="19" spans="1:15" s="265" customFormat="1">
      <c r="F19" s="644"/>
      <c r="H19" s="270" t="s">
        <v>16</v>
      </c>
      <c r="I19" s="265" t="s">
        <v>232</v>
      </c>
      <c r="J19" s="157"/>
      <c r="K19" s="157"/>
      <c r="M19" s="270"/>
    </row>
    <row r="20" spans="1:15" s="265" customFormat="1">
      <c r="F20" s="644"/>
      <c r="H20" s="270" t="s">
        <v>18</v>
      </c>
      <c r="I20" s="265" t="s">
        <v>190</v>
      </c>
      <c r="J20" s="157"/>
      <c r="K20" s="157"/>
      <c r="M20" s="270"/>
    </row>
    <row r="21" spans="1:15" s="265" customFormat="1">
      <c r="F21" s="644"/>
      <c r="G21" s="282"/>
      <c r="H21" s="270" t="s">
        <v>20</v>
      </c>
      <c r="I21" s="282" t="s">
        <v>233</v>
      </c>
      <c r="J21" s="185"/>
      <c r="K21" s="157"/>
      <c r="L21" s="282"/>
      <c r="M21" s="270"/>
    </row>
    <row r="22" spans="1:15" s="265" customFormat="1">
      <c r="F22" s="644"/>
      <c r="H22" s="270" t="s">
        <v>22</v>
      </c>
      <c r="I22" s="265" t="s">
        <v>234</v>
      </c>
      <c r="J22" s="157"/>
      <c r="K22" s="157"/>
      <c r="M22" s="270"/>
    </row>
    <row r="23" spans="1:15" s="265" customFormat="1" ht="15.75" customHeight="1">
      <c r="D23" s="1047"/>
      <c r="E23" s="277"/>
      <c r="F23" s="646"/>
      <c r="H23" s="270" t="s">
        <v>24</v>
      </c>
      <c r="I23" s="265" t="s">
        <v>361</v>
      </c>
      <c r="J23" s="157"/>
      <c r="K23" s="372"/>
      <c r="M23" s="270"/>
    </row>
    <row r="24" spans="1:15" s="265" customFormat="1" ht="12.75" customHeight="1">
      <c r="D24" s="1047"/>
      <c r="E24" s="277"/>
      <c r="F24" s="646"/>
      <c r="H24" s="270" t="s">
        <v>26</v>
      </c>
      <c r="I24" s="265" t="s">
        <v>362</v>
      </c>
      <c r="J24" s="157"/>
      <c r="K24" s="157"/>
      <c r="M24" s="270"/>
    </row>
    <row r="25" spans="1:15" s="265" customFormat="1" ht="12.75" customHeight="1">
      <c r="D25" s="277"/>
      <c r="E25" s="277"/>
      <c r="F25" s="646"/>
      <c r="H25" s="270" t="s">
        <v>28</v>
      </c>
      <c r="I25" s="265" t="s">
        <v>363</v>
      </c>
      <c r="J25" s="157"/>
      <c r="K25" s="157"/>
      <c r="M25" s="270"/>
    </row>
    <row r="26" spans="1:15" s="265" customFormat="1" ht="15" thickBot="1">
      <c r="A26" s="1111" t="s">
        <v>30</v>
      </c>
      <c r="B26" s="1167"/>
      <c r="C26" s="1167"/>
      <c r="D26" s="1167"/>
      <c r="E26" s="1167"/>
      <c r="F26" s="1167"/>
      <c r="G26" s="1167"/>
      <c r="H26" s="1167"/>
      <c r="I26" s="1167"/>
      <c r="J26" s="1167"/>
      <c r="K26" s="1167"/>
      <c r="L26" s="1167"/>
      <c r="M26" s="1167"/>
      <c r="N26" s="1167"/>
      <c r="O26" s="1167"/>
    </row>
    <row r="27" spans="1:15" s="265" customFormat="1" ht="14.25">
      <c r="A27" s="1105" t="s">
        <v>346</v>
      </c>
      <c r="B27" s="1106"/>
      <c r="C27" s="1106"/>
      <c r="D27" s="1107"/>
      <c r="E27" s="1108" t="s">
        <v>347</v>
      </c>
      <c r="F27" s="1168"/>
      <c r="G27" s="1168"/>
      <c r="H27" s="1168"/>
      <c r="I27" s="1168"/>
      <c r="J27" s="1169"/>
      <c r="K27" s="1105" t="s">
        <v>348</v>
      </c>
      <c r="L27" s="1106"/>
      <c r="M27" s="1106"/>
      <c r="N27" s="1106"/>
      <c r="O27" s="1107"/>
    </row>
    <row r="28" spans="1:15" s="265" customFormat="1" ht="12.75" customHeight="1">
      <c r="A28" s="1028" t="s">
        <v>33</v>
      </c>
      <c r="B28" s="1029"/>
      <c r="C28" s="1029"/>
      <c r="D28" s="279" t="s">
        <v>34</v>
      </c>
      <c r="E28" s="1028" t="s">
        <v>33</v>
      </c>
      <c r="F28" s="1029"/>
      <c r="G28" s="1029"/>
      <c r="H28" s="1029"/>
      <c r="I28" s="1093" t="s">
        <v>35</v>
      </c>
      <c r="J28" s="1117"/>
      <c r="K28" s="1028" t="s">
        <v>33</v>
      </c>
      <c r="L28" s="1029"/>
      <c r="M28" s="1029"/>
      <c r="N28" s="1095" t="s">
        <v>35</v>
      </c>
      <c r="O28" s="1096"/>
    </row>
    <row r="29" spans="1:15" s="265" customFormat="1" ht="12.75" customHeight="1">
      <c r="A29" s="1028" t="s">
        <v>199</v>
      </c>
      <c r="B29" s="1029"/>
      <c r="C29" s="1029"/>
      <c r="D29" s="280">
        <v>0</v>
      </c>
      <c r="E29" s="1028" t="s">
        <v>199</v>
      </c>
      <c r="F29" s="1029"/>
      <c r="G29" s="1029"/>
      <c r="H29" s="1029"/>
      <c r="I29" s="1102">
        <v>655</v>
      </c>
      <c r="J29" s="1170"/>
      <c r="K29" s="1028" t="s">
        <v>199</v>
      </c>
      <c r="L29" s="1029"/>
      <c r="M29" s="1029"/>
      <c r="N29" s="1103">
        <v>786</v>
      </c>
      <c r="O29" s="1104"/>
    </row>
    <row r="30" spans="1:15" s="265" customFormat="1" ht="12.75" customHeight="1">
      <c r="A30" s="1028" t="s">
        <v>37</v>
      </c>
      <c r="B30" s="1029"/>
      <c r="C30" s="1029"/>
      <c r="D30" s="279" t="s">
        <v>38</v>
      </c>
      <c r="E30" s="1028" t="s">
        <v>37</v>
      </c>
      <c r="F30" s="1029"/>
      <c r="G30" s="1029"/>
      <c r="H30" s="1029"/>
      <c r="I30" s="1093" t="s">
        <v>349</v>
      </c>
      <c r="J30" s="1117"/>
      <c r="K30" s="1028" t="s">
        <v>37</v>
      </c>
      <c r="L30" s="1029"/>
      <c r="M30" s="1029"/>
      <c r="N30" s="1095" t="s">
        <v>350</v>
      </c>
      <c r="O30" s="1096"/>
    </row>
    <row r="31" spans="1:15" s="265" customFormat="1" ht="12.75" customHeight="1" thickBot="1">
      <c r="A31" s="1031" t="s">
        <v>202</v>
      </c>
      <c r="B31" s="1032"/>
      <c r="C31" s="1032"/>
      <c r="D31" s="281" t="s">
        <v>203</v>
      </c>
      <c r="E31" s="1031" t="s">
        <v>204</v>
      </c>
      <c r="F31" s="1032"/>
      <c r="G31" s="1032"/>
      <c r="H31" s="1032"/>
      <c r="I31" s="1097" t="s">
        <v>351</v>
      </c>
      <c r="J31" s="1116"/>
      <c r="K31" s="1031" t="s">
        <v>40</v>
      </c>
      <c r="L31" s="1032"/>
      <c r="M31" s="1032"/>
      <c r="N31" s="1099" t="s">
        <v>351</v>
      </c>
      <c r="O31" s="1100"/>
    </row>
    <row r="32" spans="1:15" s="265" customFormat="1" ht="12.75" customHeight="1">
      <c r="A32" s="547"/>
      <c r="B32" s="256"/>
      <c r="C32" s="256"/>
      <c r="E32" s="547"/>
      <c r="F32" s="256"/>
      <c r="I32" s="547"/>
      <c r="J32" s="256"/>
      <c r="M32" s="647"/>
    </row>
    <row r="33" spans="1:16" s="265" customFormat="1" ht="12.75" customHeight="1">
      <c r="B33" s="577"/>
      <c r="C33" s="577"/>
      <c r="D33" s="277"/>
      <c r="E33" s="277"/>
      <c r="F33" s="646"/>
      <c r="G33" s="646"/>
      <c r="H33" s="283"/>
      <c r="I33" s="1059"/>
      <c r="J33" s="1059"/>
      <c r="K33" s="1059"/>
      <c r="L33" s="447"/>
      <c r="M33" s="270"/>
    </row>
    <row r="34" spans="1:16" s="265" customFormat="1" ht="12.75" customHeight="1" thickBot="1">
      <c r="B34" s="282"/>
      <c r="C34" s="282"/>
      <c r="D34" s="1019"/>
      <c r="E34" s="1019"/>
      <c r="F34" s="1019"/>
      <c r="G34" s="1019"/>
      <c r="H34" s="1019"/>
      <c r="I34" s="1059"/>
      <c r="J34" s="1059"/>
      <c r="K34" s="1059"/>
      <c r="L34" s="447"/>
      <c r="M34" s="270"/>
    </row>
    <row r="35" spans="1:16" s="265" customFormat="1" ht="15.75" customHeight="1" thickBot="1">
      <c r="F35" s="1063" t="s">
        <v>43</v>
      </c>
      <c r="G35" s="1022"/>
      <c r="H35" s="1023" t="s">
        <v>44</v>
      </c>
      <c r="I35" s="1024"/>
      <c r="J35" s="1101"/>
      <c r="K35" s="1101"/>
      <c r="L35" s="1003"/>
      <c r="M35" s="1003"/>
      <c r="N35" s="1003"/>
      <c r="O35" s="1025"/>
    </row>
    <row r="36" spans="1:16" s="291" customFormat="1" ht="52.5" customHeight="1" thickBot="1">
      <c r="A36" s="289" t="s">
        <v>45</v>
      </c>
      <c r="B36" s="290" t="s">
        <v>46</v>
      </c>
      <c r="C36" s="290" t="s">
        <v>47</v>
      </c>
      <c r="D36" s="290" t="s">
        <v>48</v>
      </c>
      <c r="E36" s="290" t="s">
        <v>49</v>
      </c>
      <c r="F36" s="648" t="s">
        <v>50</v>
      </c>
      <c r="G36" s="290" t="s">
        <v>51</v>
      </c>
      <c r="H36" s="290" t="s">
        <v>52</v>
      </c>
      <c r="I36" s="290" t="s">
        <v>51</v>
      </c>
      <c r="J36" s="290" t="s">
        <v>53</v>
      </c>
      <c r="K36" s="290" t="s">
        <v>51</v>
      </c>
      <c r="L36" s="290" t="s">
        <v>54</v>
      </c>
      <c r="M36" s="289" t="s">
        <v>51</v>
      </c>
      <c r="N36" s="290" t="s">
        <v>55</v>
      </c>
      <c r="O36" s="289" t="s">
        <v>51</v>
      </c>
    </row>
    <row r="37" spans="1:16" s="557" customFormat="1" ht="41.25" thickBot="1">
      <c r="A37" s="1014">
        <v>12</v>
      </c>
      <c r="B37" s="1014"/>
      <c r="C37" s="373" t="s">
        <v>364</v>
      </c>
      <c r="D37" s="374" t="s">
        <v>365</v>
      </c>
      <c r="E37" s="375">
        <v>15939</v>
      </c>
      <c r="F37" s="294">
        <f>SUM(E37:E39)*(1-77%)</f>
        <v>3748.08</v>
      </c>
      <c r="G37" s="1026">
        <f>F37*B37</f>
        <v>0</v>
      </c>
      <c r="H37" s="294">
        <f>F37*0.0845</f>
        <v>316.71276</v>
      </c>
      <c r="I37" s="1026">
        <f>H37*B37</f>
        <v>0</v>
      </c>
      <c r="J37" s="294">
        <f>F37*0.032</f>
        <v>119.93856</v>
      </c>
      <c r="K37" s="1026">
        <f>J37*B37</f>
        <v>0</v>
      </c>
      <c r="L37" s="295">
        <f>F37*0.0263</f>
        <v>98.574504000000005</v>
      </c>
      <c r="M37" s="1026">
        <f>L37*B37</f>
        <v>0</v>
      </c>
      <c r="N37" s="295">
        <f>F37*0.0219</f>
        <v>82.082951999999992</v>
      </c>
      <c r="O37" s="1026">
        <f>N37*B37</f>
        <v>0</v>
      </c>
      <c r="P37" s="649"/>
    </row>
    <row r="38" spans="1:16" s="519" customFormat="1" ht="13.5" thickBot="1">
      <c r="A38" s="1119"/>
      <c r="B38" s="1119"/>
      <c r="C38" s="297" t="s">
        <v>307</v>
      </c>
      <c r="D38" s="575" t="s">
        <v>240</v>
      </c>
      <c r="E38" s="491">
        <v>282</v>
      </c>
      <c r="F38" s="301" t="s">
        <v>35</v>
      </c>
      <c r="G38" s="1177"/>
      <c r="H38" s="301" t="s">
        <v>35</v>
      </c>
      <c r="I38" s="1177"/>
      <c r="J38" s="301" t="s">
        <v>35</v>
      </c>
      <c r="K38" s="1177"/>
      <c r="L38" s="301" t="s">
        <v>35</v>
      </c>
      <c r="M38" s="1119"/>
      <c r="N38" s="301" t="s">
        <v>35</v>
      </c>
      <c r="O38" s="1119"/>
    </row>
    <row r="39" spans="1:16" s="519" customFormat="1" ht="13.5" customHeight="1" thickBot="1">
      <c r="A39" s="1017"/>
      <c r="B39" s="1017"/>
      <c r="C39" s="544" t="s">
        <v>56</v>
      </c>
      <c r="D39" s="575" t="s">
        <v>57</v>
      </c>
      <c r="E39" s="491">
        <v>75</v>
      </c>
      <c r="F39" s="301" t="s">
        <v>35</v>
      </c>
      <c r="G39" s="1178"/>
      <c r="H39" s="301" t="s">
        <v>35</v>
      </c>
      <c r="I39" s="1178"/>
      <c r="J39" s="301" t="s">
        <v>35</v>
      </c>
      <c r="K39" s="1178"/>
      <c r="L39" s="301" t="s">
        <v>35</v>
      </c>
      <c r="M39" s="1119"/>
      <c r="N39" s="301" t="s">
        <v>35</v>
      </c>
      <c r="O39" s="1172"/>
    </row>
    <row r="40" spans="1:16" s="519" customFormat="1" ht="13.5" thickBot="1">
      <c r="A40" s="650"/>
      <c r="B40" s="308"/>
      <c r="C40" s="545"/>
      <c r="D40" s="537"/>
      <c r="E40" s="564"/>
      <c r="F40" s="36"/>
      <c r="G40" s="34"/>
      <c r="H40" s="36"/>
      <c r="I40" s="34"/>
      <c r="J40" s="36"/>
      <c r="K40" s="35"/>
      <c r="L40" s="622"/>
      <c r="M40" s="621"/>
      <c r="N40" s="621"/>
      <c r="O40" s="620"/>
    </row>
    <row r="41" spans="1:16" s="557" customFormat="1" ht="41.25" thickBot="1">
      <c r="A41" s="1014" t="s">
        <v>354</v>
      </c>
      <c r="B41" s="1014"/>
      <c r="C41" s="373" t="s">
        <v>364</v>
      </c>
      <c r="D41" s="374" t="s">
        <v>365</v>
      </c>
      <c r="E41" s="375">
        <v>15939</v>
      </c>
      <c r="F41" s="294">
        <f>SUM(E41:E43)*(1-77%)</f>
        <v>3748.08</v>
      </c>
      <c r="G41" s="1011">
        <f>F41*B41</f>
        <v>0</v>
      </c>
      <c r="H41" s="29">
        <f>F41*0.0845+I29/12</f>
        <v>371.29609333333332</v>
      </c>
      <c r="I41" s="1011">
        <f>H41*B41</f>
        <v>0</v>
      </c>
      <c r="J41" s="29">
        <f>F41*0.032+I29/12</f>
        <v>174.52189333333334</v>
      </c>
      <c r="K41" s="1011">
        <f>J41*B41</f>
        <v>0</v>
      </c>
      <c r="L41" s="30">
        <f>F41*0.0263+I29/12</f>
        <v>153.15783733333333</v>
      </c>
      <c r="M41" s="1011">
        <f>L41*B41</f>
        <v>0</v>
      </c>
      <c r="N41" s="30">
        <f>F41*0.0219+I29/12</f>
        <v>136.66628533333332</v>
      </c>
      <c r="O41" s="1011">
        <f>N41*B41</f>
        <v>0</v>
      </c>
      <c r="P41" s="649"/>
    </row>
    <row r="42" spans="1:16" s="519" customFormat="1" ht="13.5" thickBot="1">
      <c r="A42" s="1119"/>
      <c r="B42" s="1119"/>
      <c r="C42" s="297" t="s">
        <v>307</v>
      </c>
      <c r="D42" s="575" t="s">
        <v>240</v>
      </c>
      <c r="E42" s="491">
        <v>282</v>
      </c>
      <c r="F42" s="32" t="s">
        <v>35</v>
      </c>
      <c r="G42" s="1119"/>
      <c r="H42" s="301" t="s">
        <v>35</v>
      </c>
      <c r="I42" s="1119"/>
      <c r="J42" s="301" t="s">
        <v>35</v>
      </c>
      <c r="K42" s="1119"/>
      <c r="L42" s="301" t="s">
        <v>35</v>
      </c>
      <c r="M42" s="1119"/>
      <c r="N42" s="301" t="s">
        <v>35</v>
      </c>
      <c r="O42" s="1119"/>
    </row>
    <row r="43" spans="1:16" s="519" customFormat="1" ht="13.5" thickBot="1">
      <c r="A43" s="1017"/>
      <c r="B43" s="1017"/>
      <c r="C43" s="544" t="s">
        <v>56</v>
      </c>
      <c r="D43" s="575" t="s">
        <v>57</v>
      </c>
      <c r="E43" s="491">
        <v>75</v>
      </c>
      <c r="F43" s="32" t="s">
        <v>35</v>
      </c>
      <c r="G43" s="1092"/>
      <c r="H43" s="32" t="s">
        <v>35</v>
      </c>
      <c r="I43" s="1092"/>
      <c r="J43" s="32" t="s">
        <v>35</v>
      </c>
      <c r="K43" s="1092"/>
      <c r="L43" s="32" t="s">
        <v>35</v>
      </c>
      <c r="M43" s="1084"/>
      <c r="N43" s="32" t="s">
        <v>35</v>
      </c>
      <c r="O43" s="1120"/>
    </row>
    <row r="44" spans="1:16" s="519" customFormat="1" ht="13.5" thickBot="1">
      <c r="A44" s="650"/>
      <c r="B44" s="308"/>
      <c r="C44" s="545"/>
      <c r="D44" s="537"/>
      <c r="E44" s="564"/>
      <c r="F44" s="314"/>
      <c r="G44" s="34"/>
      <c r="H44" s="36"/>
      <c r="I44" s="34"/>
      <c r="J44" s="36"/>
      <c r="K44" s="35"/>
      <c r="L44" s="622"/>
      <c r="M44" s="621"/>
      <c r="N44" s="621"/>
      <c r="O44" s="620"/>
    </row>
    <row r="45" spans="1:16" s="557" customFormat="1" ht="41.25" thickBot="1">
      <c r="A45" s="1014" t="s">
        <v>355</v>
      </c>
      <c r="B45" s="1014"/>
      <c r="C45" s="373" t="s">
        <v>364</v>
      </c>
      <c r="D45" s="374" t="s">
        <v>365</v>
      </c>
      <c r="E45" s="375">
        <v>15939</v>
      </c>
      <c r="F45" s="294">
        <f>SUM(E45:E47)*(1-77%)</f>
        <v>3748.08</v>
      </c>
      <c r="G45" s="1026">
        <f>F45*B45</f>
        <v>0</v>
      </c>
      <c r="H45" s="294">
        <f>F45*0.0845+N29/12</f>
        <v>382.21276</v>
      </c>
      <c r="I45" s="1026">
        <f>H45*B45</f>
        <v>0</v>
      </c>
      <c r="J45" s="294">
        <f>F45*0.032+N29/12</f>
        <v>185.43856</v>
      </c>
      <c r="K45" s="1026">
        <f>J45*B45</f>
        <v>0</v>
      </c>
      <c r="L45" s="295">
        <f>F45*0.0263+N29/12</f>
        <v>164.07450399999999</v>
      </c>
      <c r="M45" s="1026">
        <f>L45*B45</f>
        <v>0</v>
      </c>
      <c r="N45" s="295">
        <f>F45*0.0219+N29/12</f>
        <v>147.58295199999998</v>
      </c>
      <c r="O45" s="1026">
        <f>N45*B45</f>
        <v>0</v>
      </c>
      <c r="P45" s="649"/>
    </row>
    <row r="46" spans="1:16" s="519" customFormat="1" ht="13.5" thickBot="1">
      <c r="A46" s="1119"/>
      <c r="B46" s="1119"/>
      <c r="C46" s="297" t="s">
        <v>307</v>
      </c>
      <c r="D46" s="575" t="s">
        <v>240</v>
      </c>
      <c r="E46" s="491">
        <v>282</v>
      </c>
      <c r="F46" s="32" t="s">
        <v>35</v>
      </c>
      <c r="G46" s="1084"/>
      <c r="H46" s="32" t="s">
        <v>35</v>
      </c>
      <c r="I46" s="1084"/>
      <c r="J46" s="32" t="s">
        <v>35</v>
      </c>
      <c r="K46" s="1084"/>
      <c r="L46" s="32" t="s">
        <v>35</v>
      </c>
      <c r="M46" s="1084"/>
      <c r="N46" s="32" t="s">
        <v>35</v>
      </c>
      <c r="O46" s="1084"/>
    </row>
    <row r="47" spans="1:16" s="519" customFormat="1" ht="13.5" thickBot="1">
      <c r="A47" s="1119"/>
      <c r="B47" s="1119"/>
      <c r="C47" s="544" t="s">
        <v>56</v>
      </c>
      <c r="D47" s="575" t="s">
        <v>57</v>
      </c>
      <c r="E47" s="491">
        <v>75</v>
      </c>
      <c r="F47" s="32" t="s">
        <v>35</v>
      </c>
      <c r="G47" s="1084"/>
      <c r="H47" s="608" t="s">
        <v>35</v>
      </c>
      <c r="I47" s="1084"/>
      <c r="J47" s="608" t="s">
        <v>35</v>
      </c>
      <c r="K47" s="1084"/>
      <c r="L47" s="608" t="s">
        <v>35</v>
      </c>
      <c r="M47" s="1084"/>
      <c r="N47" s="608" t="s">
        <v>35</v>
      </c>
      <c r="O47" s="1120"/>
    </row>
    <row r="48" spans="1:16" s="519" customFormat="1" ht="13.5" customHeight="1" thickBot="1">
      <c r="A48" s="1002" t="s">
        <v>59</v>
      </c>
      <c r="B48" s="1003"/>
      <c r="C48" s="1003"/>
      <c r="D48" s="1003"/>
      <c r="E48" s="1003"/>
      <c r="F48" s="1004"/>
      <c r="G48" s="1004"/>
      <c r="H48" s="1004"/>
      <c r="I48" s="1004"/>
      <c r="J48" s="1004"/>
      <c r="K48" s="1004"/>
      <c r="L48" s="1004"/>
      <c r="M48" s="1004"/>
      <c r="N48" s="1004"/>
      <c r="O48" s="1005"/>
    </row>
    <row r="49" spans="1:16" s="519" customFormat="1" ht="13.5" thickBot="1">
      <c r="A49" s="1174"/>
      <c r="B49" s="319"/>
      <c r="C49" s="651" t="s">
        <v>103</v>
      </c>
      <c r="D49" s="298" t="s">
        <v>104</v>
      </c>
      <c r="E49" s="491">
        <v>129.99</v>
      </c>
      <c r="F49" s="491">
        <f t="shared" ref="F49:F98" si="0">E49*(1-40%)</f>
        <v>77.994</v>
      </c>
      <c r="G49" s="567">
        <f t="shared" ref="G49:G98" si="1">F49*B49</f>
        <v>0</v>
      </c>
      <c r="H49" s="567">
        <f t="shared" ref="H49:H77" si="2">F49*0.0845</f>
        <v>6.5904930000000004</v>
      </c>
      <c r="I49" s="567">
        <f t="shared" ref="I49:I98" si="3">H49*B49</f>
        <v>0</v>
      </c>
      <c r="J49" s="567">
        <f t="shared" ref="J49:J77" si="4">F49*0.032</f>
        <v>2.4958080000000002</v>
      </c>
      <c r="K49" s="567">
        <f t="shared" ref="K49:K98" si="5">J49*B49</f>
        <v>0</v>
      </c>
      <c r="L49" s="567">
        <f t="shared" ref="L49:L77" si="6">F49*0.0263</f>
        <v>2.0512421999999999</v>
      </c>
      <c r="M49" s="567">
        <f t="shared" ref="M49:M98" si="7">L49*B49</f>
        <v>0</v>
      </c>
      <c r="N49" s="567">
        <f t="shared" ref="N49:N77" si="8">F49*0.0219</f>
        <v>1.7080686</v>
      </c>
      <c r="O49" s="567">
        <f t="shared" ref="O49:O98" si="9">N49*B49</f>
        <v>0</v>
      </c>
      <c r="P49" s="652"/>
    </row>
    <row r="50" spans="1:16" s="519" customFormat="1" ht="13.5" thickBot="1">
      <c r="A50" s="1175"/>
      <c r="B50" s="319"/>
      <c r="C50" s="297" t="s">
        <v>105</v>
      </c>
      <c r="D50" s="298" t="s">
        <v>325</v>
      </c>
      <c r="E50" s="491">
        <v>399</v>
      </c>
      <c r="F50" s="491">
        <f t="shared" si="0"/>
        <v>239.39999999999998</v>
      </c>
      <c r="G50" s="566">
        <f t="shared" si="1"/>
        <v>0</v>
      </c>
      <c r="H50" s="567">
        <f t="shared" si="2"/>
        <v>20.229299999999999</v>
      </c>
      <c r="I50" s="567">
        <f t="shared" si="3"/>
        <v>0</v>
      </c>
      <c r="J50" s="567">
        <f t="shared" si="4"/>
        <v>7.6607999999999992</v>
      </c>
      <c r="K50" s="567">
        <f t="shared" si="5"/>
        <v>0</v>
      </c>
      <c r="L50" s="567">
        <f t="shared" si="6"/>
        <v>6.2962199999999999</v>
      </c>
      <c r="M50" s="567">
        <f t="shared" si="7"/>
        <v>0</v>
      </c>
      <c r="N50" s="567">
        <f t="shared" si="8"/>
        <v>5.2428599999999994</v>
      </c>
      <c r="O50" s="567">
        <f t="shared" si="9"/>
        <v>0</v>
      </c>
      <c r="P50" s="652"/>
    </row>
    <row r="51" spans="1:16" s="315" customFormat="1" ht="13.5" thickBot="1">
      <c r="A51" s="1175"/>
      <c r="B51" s="585"/>
      <c r="C51" s="492" t="s">
        <v>107</v>
      </c>
      <c r="D51" s="494" t="s">
        <v>108</v>
      </c>
      <c r="E51" s="394">
        <v>250</v>
      </c>
      <c r="F51" s="491">
        <f t="shared" si="0"/>
        <v>150</v>
      </c>
      <c r="G51" s="566">
        <f t="shared" si="1"/>
        <v>0</v>
      </c>
      <c r="H51" s="567">
        <f t="shared" si="2"/>
        <v>12.675000000000001</v>
      </c>
      <c r="I51" s="567">
        <f t="shared" si="3"/>
        <v>0</v>
      </c>
      <c r="J51" s="567">
        <f t="shared" si="4"/>
        <v>4.8</v>
      </c>
      <c r="K51" s="567">
        <f t="shared" si="5"/>
        <v>0</v>
      </c>
      <c r="L51" s="567">
        <f t="shared" si="6"/>
        <v>3.9450000000000003</v>
      </c>
      <c r="M51" s="567">
        <f t="shared" si="7"/>
        <v>0</v>
      </c>
      <c r="N51" s="567">
        <f t="shared" si="8"/>
        <v>3.2849999999999997</v>
      </c>
      <c r="O51" s="567">
        <f t="shared" si="9"/>
        <v>0</v>
      </c>
      <c r="P51" s="652"/>
    </row>
    <row r="52" spans="1:16" s="315" customFormat="1" ht="13.5" thickBot="1">
      <c r="A52" s="1175"/>
      <c r="B52" s="319"/>
      <c r="C52" s="651" t="s">
        <v>109</v>
      </c>
      <c r="D52" s="298" t="s">
        <v>110</v>
      </c>
      <c r="E52" s="491">
        <v>400</v>
      </c>
      <c r="F52" s="491">
        <f t="shared" si="0"/>
        <v>240</v>
      </c>
      <c r="G52" s="566">
        <f t="shared" si="1"/>
        <v>0</v>
      </c>
      <c r="H52" s="567">
        <f t="shared" si="2"/>
        <v>20.28</v>
      </c>
      <c r="I52" s="567">
        <f t="shared" si="3"/>
        <v>0</v>
      </c>
      <c r="J52" s="567">
        <f t="shared" si="4"/>
        <v>7.68</v>
      </c>
      <c r="K52" s="567">
        <f t="shared" si="5"/>
        <v>0</v>
      </c>
      <c r="L52" s="567">
        <f t="shared" si="6"/>
        <v>6.3120000000000003</v>
      </c>
      <c r="M52" s="567">
        <f t="shared" si="7"/>
        <v>0</v>
      </c>
      <c r="N52" s="567">
        <f t="shared" si="8"/>
        <v>5.2560000000000002</v>
      </c>
      <c r="O52" s="567">
        <f t="shared" si="9"/>
        <v>0</v>
      </c>
      <c r="P52" s="652"/>
    </row>
    <row r="53" spans="1:16" s="315" customFormat="1" ht="13.5" thickBot="1">
      <c r="A53" s="1175"/>
      <c r="B53" s="319"/>
      <c r="C53" s="297" t="s">
        <v>111</v>
      </c>
      <c r="D53" s="298" t="s">
        <v>112</v>
      </c>
      <c r="E53" s="491">
        <v>499</v>
      </c>
      <c r="F53" s="491">
        <f t="shared" si="0"/>
        <v>299.39999999999998</v>
      </c>
      <c r="G53" s="566">
        <f t="shared" si="1"/>
        <v>0</v>
      </c>
      <c r="H53" s="567">
        <f t="shared" si="2"/>
        <v>25.299299999999999</v>
      </c>
      <c r="I53" s="567">
        <f t="shared" si="3"/>
        <v>0</v>
      </c>
      <c r="J53" s="567">
        <f t="shared" si="4"/>
        <v>9.5808</v>
      </c>
      <c r="K53" s="567">
        <f t="shared" si="5"/>
        <v>0</v>
      </c>
      <c r="L53" s="567">
        <f t="shared" si="6"/>
        <v>7.8742199999999993</v>
      </c>
      <c r="M53" s="567">
        <f t="shared" si="7"/>
        <v>0</v>
      </c>
      <c r="N53" s="567">
        <f t="shared" si="8"/>
        <v>6.5568599999999995</v>
      </c>
      <c r="O53" s="567">
        <f t="shared" si="9"/>
        <v>0</v>
      </c>
      <c r="P53" s="652"/>
    </row>
    <row r="54" spans="1:16" s="315" customFormat="1" ht="13.5" thickBot="1">
      <c r="A54" s="1175"/>
      <c r="B54" s="319"/>
      <c r="C54" s="297" t="s">
        <v>77</v>
      </c>
      <c r="D54" s="298" t="s">
        <v>169</v>
      </c>
      <c r="E54" s="491">
        <v>329</v>
      </c>
      <c r="F54" s="491">
        <f t="shared" si="0"/>
        <v>197.4</v>
      </c>
      <c r="G54" s="566">
        <f t="shared" si="1"/>
        <v>0</v>
      </c>
      <c r="H54" s="567">
        <f t="shared" si="2"/>
        <v>16.680300000000003</v>
      </c>
      <c r="I54" s="567">
        <f t="shared" si="3"/>
        <v>0</v>
      </c>
      <c r="J54" s="567">
        <f t="shared" si="4"/>
        <v>6.3168000000000006</v>
      </c>
      <c r="K54" s="567">
        <f t="shared" si="5"/>
        <v>0</v>
      </c>
      <c r="L54" s="567">
        <f t="shared" si="6"/>
        <v>5.1916200000000003</v>
      </c>
      <c r="M54" s="567">
        <f t="shared" si="7"/>
        <v>0</v>
      </c>
      <c r="N54" s="567">
        <f t="shared" si="8"/>
        <v>4.3230599999999999</v>
      </c>
      <c r="O54" s="567">
        <f t="shared" si="9"/>
        <v>0</v>
      </c>
      <c r="P54" s="652"/>
    </row>
    <row r="55" spans="1:16" s="315" customFormat="1" ht="13.5" thickBot="1">
      <c r="A55" s="1175"/>
      <c r="B55" s="319"/>
      <c r="C55" s="297" t="s">
        <v>241</v>
      </c>
      <c r="D55" s="298" t="s">
        <v>3853</v>
      </c>
      <c r="E55" s="491">
        <v>235.4</v>
      </c>
      <c r="F55" s="491">
        <f t="shared" si="0"/>
        <v>141.24</v>
      </c>
      <c r="G55" s="566">
        <f t="shared" si="1"/>
        <v>0</v>
      </c>
      <c r="H55" s="567">
        <f t="shared" si="2"/>
        <v>11.934780000000002</v>
      </c>
      <c r="I55" s="567">
        <f t="shared" si="3"/>
        <v>0</v>
      </c>
      <c r="J55" s="567">
        <f t="shared" si="4"/>
        <v>4.5196800000000001</v>
      </c>
      <c r="K55" s="567">
        <f t="shared" si="5"/>
        <v>0</v>
      </c>
      <c r="L55" s="567">
        <f t="shared" si="6"/>
        <v>3.7146120000000002</v>
      </c>
      <c r="M55" s="567">
        <f t="shared" si="7"/>
        <v>0</v>
      </c>
      <c r="N55" s="567">
        <f t="shared" si="8"/>
        <v>3.093156</v>
      </c>
      <c r="O55" s="567">
        <f t="shared" si="9"/>
        <v>0</v>
      </c>
      <c r="P55" s="652"/>
    </row>
    <row r="56" spans="1:16" s="315" customFormat="1" ht="13.5" thickBot="1">
      <c r="A56" s="1175"/>
      <c r="B56" s="319"/>
      <c r="C56" s="297" t="s">
        <v>242</v>
      </c>
      <c r="D56" s="298" t="s">
        <v>3854</v>
      </c>
      <c r="E56" s="491">
        <v>328.49</v>
      </c>
      <c r="F56" s="491">
        <f t="shared" si="0"/>
        <v>197.09399999999999</v>
      </c>
      <c r="G56" s="566">
        <f t="shared" si="1"/>
        <v>0</v>
      </c>
      <c r="H56" s="567">
        <f t="shared" si="2"/>
        <v>16.654443000000001</v>
      </c>
      <c r="I56" s="567">
        <f t="shared" si="3"/>
        <v>0</v>
      </c>
      <c r="J56" s="567">
        <f t="shared" si="4"/>
        <v>6.3070079999999997</v>
      </c>
      <c r="K56" s="567">
        <f t="shared" si="5"/>
        <v>0</v>
      </c>
      <c r="L56" s="567">
        <f t="shared" si="6"/>
        <v>5.1835721999999995</v>
      </c>
      <c r="M56" s="567">
        <f t="shared" si="7"/>
        <v>0</v>
      </c>
      <c r="N56" s="567">
        <f t="shared" si="8"/>
        <v>4.3163586</v>
      </c>
      <c r="O56" s="567">
        <f t="shared" si="9"/>
        <v>0</v>
      </c>
      <c r="P56" s="652"/>
    </row>
    <row r="57" spans="1:16" s="315" customFormat="1" ht="13.5" thickBot="1">
      <c r="A57" s="1175"/>
      <c r="B57" s="319"/>
      <c r="C57" s="297" t="s">
        <v>117</v>
      </c>
      <c r="D57" s="298" t="s">
        <v>118</v>
      </c>
      <c r="E57" s="491">
        <v>999.38</v>
      </c>
      <c r="F57" s="491">
        <f t="shared" si="0"/>
        <v>599.62799999999993</v>
      </c>
      <c r="G57" s="566">
        <f t="shared" si="1"/>
        <v>0</v>
      </c>
      <c r="H57" s="567">
        <f t="shared" si="2"/>
        <v>50.668565999999998</v>
      </c>
      <c r="I57" s="567">
        <f t="shared" si="3"/>
        <v>0</v>
      </c>
      <c r="J57" s="567">
        <f t="shared" si="4"/>
        <v>19.188095999999998</v>
      </c>
      <c r="K57" s="567">
        <f t="shared" si="5"/>
        <v>0</v>
      </c>
      <c r="L57" s="567">
        <f t="shared" si="6"/>
        <v>15.770216399999999</v>
      </c>
      <c r="M57" s="567">
        <f t="shared" si="7"/>
        <v>0</v>
      </c>
      <c r="N57" s="567">
        <f t="shared" si="8"/>
        <v>13.131853199999998</v>
      </c>
      <c r="O57" s="567">
        <f t="shared" si="9"/>
        <v>0</v>
      </c>
      <c r="P57" s="652"/>
    </row>
    <row r="58" spans="1:16" s="315" customFormat="1" ht="13.5" thickBot="1">
      <c r="A58" s="1175"/>
      <c r="B58" s="585"/>
      <c r="C58" s="653" t="s">
        <v>119</v>
      </c>
      <c r="D58" s="494" t="s">
        <v>120</v>
      </c>
      <c r="E58" s="394">
        <v>222.6</v>
      </c>
      <c r="F58" s="491">
        <f t="shared" si="0"/>
        <v>133.56</v>
      </c>
      <c r="G58" s="566">
        <f t="shared" si="1"/>
        <v>0</v>
      </c>
      <c r="H58" s="567">
        <f t="shared" si="2"/>
        <v>11.285820000000001</v>
      </c>
      <c r="I58" s="567">
        <f t="shared" si="3"/>
        <v>0</v>
      </c>
      <c r="J58" s="567">
        <f t="shared" si="4"/>
        <v>4.2739200000000004</v>
      </c>
      <c r="K58" s="567">
        <f t="shared" si="5"/>
        <v>0</v>
      </c>
      <c r="L58" s="567">
        <f t="shared" si="6"/>
        <v>3.5126280000000003</v>
      </c>
      <c r="M58" s="567">
        <f t="shared" si="7"/>
        <v>0</v>
      </c>
      <c r="N58" s="567">
        <f t="shared" si="8"/>
        <v>2.9249640000000001</v>
      </c>
      <c r="O58" s="567">
        <f t="shared" si="9"/>
        <v>0</v>
      </c>
      <c r="P58" s="652"/>
    </row>
    <row r="59" spans="1:16" s="315" customFormat="1" ht="26.25" thickBot="1">
      <c r="A59" s="1175"/>
      <c r="B59" s="319"/>
      <c r="C59" s="588" t="s">
        <v>244</v>
      </c>
      <c r="D59" s="298" t="s">
        <v>3855</v>
      </c>
      <c r="E59" s="491">
        <v>1259.3900000000001</v>
      </c>
      <c r="F59" s="491">
        <f t="shared" si="0"/>
        <v>755.63400000000001</v>
      </c>
      <c r="G59" s="566">
        <f t="shared" si="1"/>
        <v>0</v>
      </c>
      <c r="H59" s="567">
        <f t="shared" si="2"/>
        <v>63.851073000000007</v>
      </c>
      <c r="I59" s="567">
        <f t="shared" si="3"/>
        <v>0</v>
      </c>
      <c r="J59" s="567">
        <f t="shared" si="4"/>
        <v>24.180288000000001</v>
      </c>
      <c r="K59" s="567">
        <f t="shared" si="5"/>
        <v>0</v>
      </c>
      <c r="L59" s="567">
        <f t="shared" si="6"/>
        <v>19.873174200000001</v>
      </c>
      <c r="M59" s="567">
        <f t="shared" si="7"/>
        <v>0</v>
      </c>
      <c r="N59" s="567">
        <f t="shared" si="8"/>
        <v>16.548384599999999</v>
      </c>
      <c r="O59" s="567">
        <f t="shared" si="9"/>
        <v>0</v>
      </c>
      <c r="P59" s="652"/>
    </row>
    <row r="60" spans="1:16" s="315" customFormat="1" ht="35.450000000000003" customHeight="1" thickBot="1">
      <c r="A60" s="1175"/>
      <c r="B60" s="319"/>
      <c r="C60" s="588" t="s">
        <v>3856</v>
      </c>
      <c r="D60" s="298" t="s">
        <v>4039</v>
      </c>
      <c r="E60" s="654">
        <v>1399.56</v>
      </c>
      <c r="F60" s="491">
        <f t="shared" si="0"/>
        <v>839.73599999999999</v>
      </c>
      <c r="G60" s="566">
        <f t="shared" si="1"/>
        <v>0</v>
      </c>
      <c r="H60" s="567">
        <f t="shared" si="2"/>
        <v>70.957692000000009</v>
      </c>
      <c r="I60" s="567">
        <f t="shared" si="3"/>
        <v>0</v>
      </c>
      <c r="J60" s="567">
        <f t="shared" si="4"/>
        <v>26.871552000000001</v>
      </c>
      <c r="K60" s="567">
        <f t="shared" si="5"/>
        <v>0</v>
      </c>
      <c r="L60" s="567">
        <f t="shared" si="6"/>
        <v>22.0850568</v>
      </c>
      <c r="M60" s="567">
        <f t="shared" si="7"/>
        <v>0</v>
      </c>
      <c r="N60" s="567">
        <f t="shared" si="8"/>
        <v>18.390218399999998</v>
      </c>
      <c r="O60" s="567">
        <f t="shared" si="9"/>
        <v>0</v>
      </c>
      <c r="P60" s="652"/>
    </row>
    <row r="61" spans="1:16" s="315" customFormat="1" ht="31.9" customHeight="1" thickBot="1">
      <c r="A61" s="1175"/>
      <c r="B61" s="319"/>
      <c r="C61" s="588" t="s">
        <v>3858</v>
      </c>
      <c r="D61" s="298" t="s">
        <v>429</v>
      </c>
      <c r="E61" s="654">
        <v>2172.17</v>
      </c>
      <c r="F61" s="491">
        <f t="shared" si="0"/>
        <v>1303.3019999999999</v>
      </c>
      <c r="G61" s="566">
        <f t="shared" si="1"/>
        <v>0</v>
      </c>
      <c r="H61" s="567">
        <f t="shared" si="2"/>
        <v>110.129019</v>
      </c>
      <c r="I61" s="567">
        <f t="shared" si="3"/>
        <v>0</v>
      </c>
      <c r="J61" s="567">
        <f t="shared" si="4"/>
        <v>41.705663999999999</v>
      </c>
      <c r="K61" s="567">
        <f t="shared" si="5"/>
        <v>0</v>
      </c>
      <c r="L61" s="567">
        <f t="shared" si="6"/>
        <v>34.276842599999995</v>
      </c>
      <c r="M61" s="567">
        <f t="shared" si="7"/>
        <v>0</v>
      </c>
      <c r="N61" s="567">
        <f t="shared" si="8"/>
        <v>28.542313799999999</v>
      </c>
      <c r="O61" s="567">
        <f t="shared" si="9"/>
        <v>0</v>
      </c>
      <c r="P61" s="652"/>
    </row>
    <row r="62" spans="1:16" s="315" customFormat="1" ht="26.25" thickBot="1">
      <c r="A62" s="1175"/>
      <c r="B62" s="319"/>
      <c r="C62" s="655" t="s">
        <v>3914</v>
      </c>
      <c r="D62" s="656" t="s">
        <v>4038</v>
      </c>
      <c r="E62" s="491">
        <v>4008.22</v>
      </c>
      <c r="F62" s="491">
        <f t="shared" si="0"/>
        <v>2404.9319999999998</v>
      </c>
      <c r="G62" s="566">
        <f t="shared" si="1"/>
        <v>0</v>
      </c>
      <c r="H62" s="567">
        <f t="shared" si="2"/>
        <v>203.21675400000001</v>
      </c>
      <c r="I62" s="567">
        <f t="shared" si="3"/>
        <v>0</v>
      </c>
      <c r="J62" s="567">
        <f t="shared" si="4"/>
        <v>76.957823999999988</v>
      </c>
      <c r="K62" s="567">
        <f t="shared" si="5"/>
        <v>0</v>
      </c>
      <c r="L62" s="567">
        <f t="shared" si="6"/>
        <v>63.249711599999998</v>
      </c>
      <c r="M62" s="567">
        <f t="shared" si="7"/>
        <v>0</v>
      </c>
      <c r="N62" s="567">
        <f t="shared" si="8"/>
        <v>52.66801079999999</v>
      </c>
      <c r="O62" s="567">
        <f t="shared" si="9"/>
        <v>0</v>
      </c>
      <c r="P62" s="652"/>
    </row>
    <row r="63" spans="1:16" s="315" customFormat="1" ht="26.25" thickBot="1">
      <c r="A63" s="1175"/>
      <c r="B63" s="319"/>
      <c r="C63" s="655" t="s">
        <v>3915</v>
      </c>
      <c r="D63" s="298" t="s">
        <v>3917</v>
      </c>
      <c r="E63" s="491">
        <v>3919.41</v>
      </c>
      <c r="F63" s="491">
        <f t="shared" si="0"/>
        <v>2351.6459999999997</v>
      </c>
      <c r="G63" s="566">
        <f t="shared" si="1"/>
        <v>0</v>
      </c>
      <c r="H63" s="567">
        <f t="shared" si="2"/>
        <v>198.71408699999998</v>
      </c>
      <c r="I63" s="567">
        <f t="shared" si="3"/>
        <v>0</v>
      </c>
      <c r="J63" s="567">
        <f t="shared" si="4"/>
        <v>75.25267199999999</v>
      </c>
      <c r="K63" s="567">
        <f t="shared" si="5"/>
        <v>0</v>
      </c>
      <c r="L63" s="567">
        <f t="shared" si="6"/>
        <v>61.848289799999996</v>
      </c>
      <c r="M63" s="567">
        <f t="shared" si="7"/>
        <v>0</v>
      </c>
      <c r="N63" s="567">
        <f t="shared" si="8"/>
        <v>51.50104739999999</v>
      </c>
      <c r="O63" s="567">
        <f t="shared" si="9"/>
        <v>0</v>
      </c>
      <c r="P63" s="652"/>
    </row>
    <row r="64" spans="1:16" s="315" customFormat="1" ht="26.25" thickBot="1">
      <c r="A64" s="1175"/>
      <c r="B64" s="319"/>
      <c r="C64" s="588" t="s">
        <v>3916</v>
      </c>
      <c r="D64" s="298" t="s">
        <v>3918</v>
      </c>
      <c r="E64" s="491">
        <v>5661.37</v>
      </c>
      <c r="F64" s="491">
        <f t="shared" si="0"/>
        <v>3396.8219999999997</v>
      </c>
      <c r="G64" s="566">
        <f t="shared" si="1"/>
        <v>0</v>
      </c>
      <c r="H64" s="567">
        <f t="shared" si="2"/>
        <v>287.03145899999998</v>
      </c>
      <c r="I64" s="567">
        <f t="shared" si="3"/>
        <v>0</v>
      </c>
      <c r="J64" s="567">
        <f t="shared" si="4"/>
        <v>108.69830399999999</v>
      </c>
      <c r="K64" s="567">
        <f t="shared" si="5"/>
        <v>0</v>
      </c>
      <c r="L64" s="567">
        <f t="shared" si="6"/>
        <v>89.336418599999988</v>
      </c>
      <c r="M64" s="567">
        <f t="shared" si="7"/>
        <v>0</v>
      </c>
      <c r="N64" s="567">
        <f t="shared" si="8"/>
        <v>74.390401799999992</v>
      </c>
      <c r="O64" s="567">
        <f t="shared" si="9"/>
        <v>0</v>
      </c>
      <c r="P64" s="652"/>
    </row>
    <row r="65" spans="1:16" s="315" customFormat="1" ht="13.5" thickBot="1">
      <c r="A65" s="1175"/>
      <c r="B65" s="585"/>
      <c r="C65" s="492" t="s">
        <v>3861</v>
      </c>
      <c r="D65" s="494" t="s">
        <v>3852</v>
      </c>
      <c r="E65" s="394">
        <v>1828.63</v>
      </c>
      <c r="F65" s="491">
        <f t="shared" si="0"/>
        <v>1097.1780000000001</v>
      </c>
      <c r="G65" s="566">
        <f t="shared" si="1"/>
        <v>0</v>
      </c>
      <c r="H65" s="567">
        <f t="shared" si="2"/>
        <v>92.711541000000011</v>
      </c>
      <c r="I65" s="567">
        <f t="shared" si="3"/>
        <v>0</v>
      </c>
      <c r="J65" s="567">
        <f t="shared" si="4"/>
        <v>35.109696000000007</v>
      </c>
      <c r="K65" s="567">
        <f t="shared" si="5"/>
        <v>0</v>
      </c>
      <c r="L65" s="567">
        <f t="shared" si="6"/>
        <v>28.855781400000005</v>
      </c>
      <c r="M65" s="567">
        <f t="shared" si="7"/>
        <v>0</v>
      </c>
      <c r="N65" s="567">
        <f t="shared" si="8"/>
        <v>24.028198200000002</v>
      </c>
      <c r="O65" s="567">
        <f t="shared" si="9"/>
        <v>0</v>
      </c>
      <c r="P65" s="652"/>
    </row>
    <row r="66" spans="1:16" s="315" customFormat="1" ht="13.5" thickBot="1">
      <c r="A66" s="1175"/>
      <c r="B66" s="319"/>
      <c r="C66" s="297" t="s">
        <v>123</v>
      </c>
      <c r="D66" s="298" t="s">
        <v>3910</v>
      </c>
      <c r="E66" s="491">
        <v>329.56</v>
      </c>
      <c r="F66" s="491">
        <f t="shared" si="0"/>
        <v>197.73599999999999</v>
      </c>
      <c r="G66" s="566">
        <f t="shared" si="1"/>
        <v>0</v>
      </c>
      <c r="H66" s="567">
        <f t="shared" si="2"/>
        <v>16.708691999999999</v>
      </c>
      <c r="I66" s="567">
        <f t="shared" si="3"/>
        <v>0</v>
      </c>
      <c r="J66" s="567">
        <f t="shared" si="4"/>
        <v>6.3275519999999998</v>
      </c>
      <c r="K66" s="567">
        <f t="shared" si="5"/>
        <v>0</v>
      </c>
      <c r="L66" s="567">
        <f t="shared" si="6"/>
        <v>5.2004567999999995</v>
      </c>
      <c r="M66" s="567">
        <f t="shared" si="7"/>
        <v>0</v>
      </c>
      <c r="N66" s="567">
        <f t="shared" si="8"/>
        <v>4.3304183999999992</v>
      </c>
      <c r="O66" s="567">
        <f t="shared" si="9"/>
        <v>0</v>
      </c>
      <c r="P66" s="652"/>
    </row>
    <row r="67" spans="1:16" s="315" customFormat="1" ht="13.5" thickBot="1">
      <c r="A67" s="1175"/>
      <c r="B67" s="319"/>
      <c r="C67" s="297" t="s">
        <v>3862</v>
      </c>
      <c r="D67" s="298" t="s">
        <v>296</v>
      </c>
      <c r="E67" s="491">
        <v>4449.0600000000004</v>
      </c>
      <c r="F67" s="491">
        <f t="shared" si="0"/>
        <v>2669.4360000000001</v>
      </c>
      <c r="G67" s="566">
        <f t="shared" si="1"/>
        <v>0</v>
      </c>
      <c r="H67" s="567">
        <f t="shared" si="2"/>
        <v>225.56734200000002</v>
      </c>
      <c r="I67" s="567">
        <f t="shared" si="3"/>
        <v>0</v>
      </c>
      <c r="J67" s="567">
        <f t="shared" si="4"/>
        <v>85.421952000000005</v>
      </c>
      <c r="K67" s="567">
        <f t="shared" si="5"/>
        <v>0</v>
      </c>
      <c r="L67" s="567">
        <f t="shared" si="6"/>
        <v>70.206166800000005</v>
      </c>
      <c r="M67" s="567">
        <f t="shared" si="7"/>
        <v>0</v>
      </c>
      <c r="N67" s="567">
        <f t="shared" si="8"/>
        <v>58.460648400000004</v>
      </c>
      <c r="O67" s="567">
        <f t="shared" si="9"/>
        <v>0</v>
      </c>
      <c r="P67" s="652"/>
    </row>
    <row r="68" spans="1:16" s="315" customFormat="1" ht="13.5" thickBot="1">
      <c r="A68" s="1175"/>
      <c r="B68" s="319"/>
      <c r="C68" s="297" t="s">
        <v>3863</v>
      </c>
      <c r="D68" s="298" t="s">
        <v>3864</v>
      </c>
      <c r="E68" s="491">
        <v>352.03</v>
      </c>
      <c r="F68" s="491">
        <f t="shared" si="0"/>
        <v>211.21799999999999</v>
      </c>
      <c r="G68" s="566">
        <f t="shared" si="1"/>
        <v>0</v>
      </c>
      <c r="H68" s="567">
        <f t="shared" si="2"/>
        <v>17.847920999999999</v>
      </c>
      <c r="I68" s="567">
        <f t="shared" si="3"/>
        <v>0</v>
      </c>
      <c r="J68" s="567">
        <f t="shared" si="4"/>
        <v>6.7589759999999997</v>
      </c>
      <c r="K68" s="567">
        <f t="shared" si="5"/>
        <v>0</v>
      </c>
      <c r="L68" s="567">
        <f t="shared" si="6"/>
        <v>5.5550334000000001</v>
      </c>
      <c r="M68" s="567">
        <f t="shared" si="7"/>
        <v>0</v>
      </c>
      <c r="N68" s="567">
        <f t="shared" si="8"/>
        <v>4.6256741999999997</v>
      </c>
      <c r="O68" s="567">
        <f t="shared" si="9"/>
        <v>0</v>
      </c>
      <c r="P68" s="652"/>
    </row>
    <row r="69" spans="1:16" s="315" customFormat="1" ht="13.5" thickBot="1">
      <c r="A69" s="1175"/>
      <c r="B69" s="319"/>
      <c r="C69" s="297" t="s">
        <v>430</v>
      </c>
      <c r="D69" s="298" t="s">
        <v>431</v>
      </c>
      <c r="E69" s="491">
        <v>588.5</v>
      </c>
      <c r="F69" s="491">
        <f t="shared" si="0"/>
        <v>353.09999999999997</v>
      </c>
      <c r="G69" s="566">
        <f t="shared" si="1"/>
        <v>0</v>
      </c>
      <c r="H69" s="567">
        <f t="shared" si="2"/>
        <v>29.836949999999998</v>
      </c>
      <c r="I69" s="567">
        <f t="shared" si="3"/>
        <v>0</v>
      </c>
      <c r="J69" s="567">
        <f t="shared" si="4"/>
        <v>11.299199999999999</v>
      </c>
      <c r="K69" s="567">
        <f t="shared" si="5"/>
        <v>0</v>
      </c>
      <c r="L69" s="567">
        <f t="shared" si="6"/>
        <v>9.2865299999999991</v>
      </c>
      <c r="M69" s="567">
        <f t="shared" si="7"/>
        <v>0</v>
      </c>
      <c r="N69" s="567">
        <f t="shared" si="8"/>
        <v>7.7328899999999994</v>
      </c>
      <c r="O69" s="567">
        <f t="shared" si="9"/>
        <v>0</v>
      </c>
      <c r="P69" s="652"/>
    </row>
    <row r="70" spans="1:16" s="315" customFormat="1" ht="13.5" thickBot="1">
      <c r="A70" s="1175"/>
      <c r="B70" s="319"/>
      <c r="C70" s="297" t="s">
        <v>366</v>
      </c>
      <c r="D70" s="298" t="s">
        <v>367</v>
      </c>
      <c r="E70" s="491">
        <v>588.5</v>
      </c>
      <c r="F70" s="491">
        <f t="shared" si="0"/>
        <v>353.09999999999997</v>
      </c>
      <c r="G70" s="396">
        <f t="shared" si="1"/>
        <v>0</v>
      </c>
      <c r="H70" s="567">
        <f t="shared" si="2"/>
        <v>29.836949999999998</v>
      </c>
      <c r="I70" s="397">
        <f t="shared" si="3"/>
        <v>0</v>
      </c>
      <c r="J70" s="567">
        <f t="shared" si="4"/>
        <v>11.299199999999999</v>
      </c>
      <c r="K70" s="397">
        <f t="shared" si="5"/>
        <v>0</v>
      </c>
      <c r="L70" s="567">
        <f t="shared" si="6"/>
        <v>9.2865299999999991</v>
      </c>
      <c r="M70" s="397">
        <f t="shared" si="7"/>
        <v>0</v>
      </c>
      <c r="N70" s="567">
        <f t="shared" si="8"/>
        <v>7.7328899999999994</v>
      </c>
      <c r="O70" s="397">
        <f t="shared" si="9"/>
        <v>0</v>
      </c>
      <c r="P70" s="652"/>
    </row>
    <row r="71" spans="1:16" s="524" customFormat="1" ht="13.5" thickBot="1">
      <c r="A71" s="1175"/>
      <c r="B71" s="319"/>
      <c r="C71" s="653" t="s">
        <v>522</v>
      </c>
      <c r="D71" s="298" t="s">
        <v>432</v>
      </c>
      <c r="E71" s="491">
        <v>101.65</v>
      </c>
      <c r="F71" s="491">
        <f t="shared" si="0"/>
        <v>60.99</v>
      </c>
      <c r="G71" s="566">
        <f t="shared" si="1"/>
        <v>0</v>
      </c>
      <c r="H71" s="567">
        <f t="shared" si="2"/>
        <v>5.1536550000000005</v>
      </c>
      <c r="I71" s="567">
        <f t="shared" si="3"/>
        <v>0</v>
      </c>
      <c r="J71" s="567">
        <f t="shared" si="4"/>
        <v>1.9516800000000001</v>
      </c>
      <c r="K71" s="567">
        <f t="shared" si="5"/>
        <v>0</v>
      </c>
      <c r="L71" s="567">
        <f t="shared" si="6"/>
        <v>1.6040370000000002</v>
      </c>
      <c r="M71" s="567">
        <f t="shared" si="7"/>
        <v>0</v>
      </c>
      <c r="N71" s="567">
        <f t="shared" si="8"/>
        <v>1.3356809999999999</v>
      </c>
      <c r="O71" s="567">
        <f t="shared" si="9"/>
        <v>0</v>
      </c>
      <c r="P71" s="652"/>
    </row>
    <row r="72" spans="1:16" s="519" customFormat="1" ht="13.5" thickBot="1">
      <c r="A72" s="1175"/>
      <c r="B72" s="319"/>
      <c r="C72" s="565" t="s">
        <v>3865</v>
      </c>
      <c r="D72" s="298" t="s">
        <v>3866</v>
      </c>
      <c r="E72" s="491">
        <v>145.52000000000001</v>
      </c>
      <c r="F72" s="491">
        <f t="shared" si="0"/>
        <v>87.311999999999998</v>
      </c>
      <c r="G72" s="566">
        <f t="shared" si="1"/>
        <v>0</v>
      </c>
      <c r="H72" s="567">
        <f t="shared" si="2"/>
        <v>7.3778640000000006</v>
      </c>
      <c r="I72" s="567">
        <f t="shared" si="3"/>
        <v>0</v>
      </c>
      <c r="J72" s="567">
        <f t="shared" si="4"/>
        <v>2.793984</v>
      </c>
      <c r="K72" s="567">
        <f t="shared" si="5"/>
        <v>0</v>
      </c>
      <c r="L72" s="567">
        <f t="shared" si="6"/>
        <v>2.2963056000000002</v>
      </c>
      <c r="M72" s="567">
        <f t="shared" si="7"/>
        <v>0</v>
      </c>
      <c r="N72" s="567">
        <f t="shared" si="8"/>
        <v>1.9121328</v>
      </c>
      <c r="O72" s="567">
        <f t="shared" si="9"/>
        <v>0</v>
      </c>
      <c r="P72" s="652"/>
    </row>
    <row r="73" spans="1:16" s="519" customFormat="1" ht="13.5" thickBot="1">
      <c r="A73" s="1175"/>
      <c r="B73" s="319"/>
      <c r="C73" s="297" t="s">
        <v>127</v>
      </c>
      <c r="D73" s="298" t="s">
        <v>128</v>
      </c>
      <c r="E73" s="491">
        <v>148.72999999999999</v>
      </c>
      <c r="F73" s="491">
        <f t="shared" si="0"/>
        <v>89.237999999999985</v>
      </c>
      <c r="G73" s="566">
        <f t="shared" si="1"/>
        <v>0</v>
      </c>
      <c r="H73" s="567">
        <f t="shared" si="2"/>
        <v>7.5406109999999993</v>
      </c>
      <c r="I73" s="567">
        <f t="shared" si="3"/>
        <v>0</v>
      </c>
      <c r="J73" s="567">
        <f t="shared" si="4"/>
        <v>2.8556159999999995</v>
      </c>
      <c r="K73" s="567">
        <f t="shared" si="5"/>
        <v>0</v>
      </c>
      <c r="L73" s="567">
        <f t="shared" si="6"/>
        <v>2.3469593999999998</v>
      </c>
      <c r="M73" s="567">
        <f t="shared" si="7"/>
        <v>0</v>
      </c>
      <c r="N73" s="567">
        <f t="shared" si="8"/>
        <v>1.9543121999999997</v>
      </c>
      <c r="O73" s="567">
        <f t="shared" si="9"/>
        <v>0</v>
      </c>
      <c r="P73" s="652"/>
    </row>
    <row r="74" spans="1:16" s="315" customFormat="1" ht="13.5" thickBot="1">
      <c r="A74" s="1175"/>
      <c r="B74" s="319"/>
      <c r="C74" s="651" t="s">
        <v>129</v>
      </c>
      <c r="D74" s="298" t="s">
        <v>130</v>
      </c>
      <c r="E74" s="491">
        <v>785</v>
      </c>
      <c r="F74" s="491">
        <f t="shared" si="0"/>
        <v>471</v>
      </c>
      <c r="G74" s="566">
        <f t="shared" si="1"/>
        <v>0</v>
      </c>
      <c r="H74" s="567">
        <f t="shared" si="2"/>
        <v>39.799500000000002</v>
      </c>
      <c r="I74" s="567">
        <f t="shared" si="3"/>
        <v>0</v>
      </c>
      <c r="J74" s="567">
        <f t="shared" si="4"/>
        <v>15.072000000000001</v>
      </c>
      <c r="K74" s="567">
        <f t="shared" si="5"/>
        <v>0</v>
      </c>
      <c r="L74" s="567">
        <f t="shared" si="6"/>
        <v>12.3873</v>
      </c>
      <c r="M74" s="567">
        <f t="shared" si="7"/>
        <v>0</v>
      </c>
      <c r="N74" s="567">
        <f t="shared" si="8"/>
        <v>10.3149</v>
      </c>
      <c r="O74" s="567">
        <f t="shared" si="9"/>
        <v>0</v>
      </c>
      <c r="P74" s="652"/>
    </row>
    <row r="75" spans="1:16" s="519" customFormat="1" ht="13.5" thickBot="1">
      <c r="A75" s="1175"/>
      <c r="B75" s="319"/>
      <c r="C75" s="565" t="s">
        <v>131</v>
      </c>
      <c r="D75" s="590" t="s">
        <v>217</v>
      </c>
      <c r="E75" s="491">
        <v>821</v>
      </c>
      <c r="F75" s="491">
        <f t="shared" si="0"/>
        <v>492.59999999999997</v>
      </c>
      <c r="G75" s="566">
        <f t="shared" si="1"/>
        <v>0</v>
      </c>
      <c r="H75" s="567">
        <f t="shared" si="2"/>
        <v>41.624699999999997</v>
      </c>
      <c r="I75" s="567">
        <f t="shared" si="3"/>
        <v>0</v>
      </c>
      <c r="J75" s="567">
        <f t="shared" si="4"/>
        <v>15.763199999999999</v>
      </c>
      <c r="K75" s="567">
        <f t="shared" si="5"/>
        <v>0</v>
      </c>
      <c r="L75" s="567">
        <f t="shared" si="6"/>
        <v>12.95538</v>
      </c>
      <c r="M75" s="567">
        <f t="shared" si="7"/>
        <v>0</v>
      </c>
      <c r="N75" s="567">
        <f t="shared" si="8"/>
        <v>10.787939999999999</v>
      </c>
      <c r="O75" s="567">
        <f t="shared" si="9"/>
        <v>0</v>
      </c>
      <c r="P75" s="652"/>
    </row>
    <row r="76" spans="1:16" s="519" customFormat="1" ht="13.5" thickBot="1">
      <c r="A76" s="1175"/>
      <c r="B76" s="319"/>
      <c r="C76" s="589" t="s">
        <v>133</v>
      </c>
      <c r="D76" s="590" t="s">
        <v>134</v>
      </c>
      <c r="E76" s="491">
        <v>690</v>
      </c>
      <c r="F76" s="491">
        <f t="shared" si="0"/>
        <v>414</v>
      </c>
      <c r="G76" s="566">
        <f t="shared" si="1"/>
        <v>0</v>
      </c>
      <c r="H76" s="567">
        <f t="shared" si="2"/>
        <v>34.983000000000004</v>
      </c>
      <c r="I76" s="567">
        <f t="shared" si="3"/>
        <v>0</v>
      </c>
      <c r="J76" s="567">
        <f t="shared" si="4"/>
        <v>13.248000000000001</v>
      </c>
      <c r="K76" s="567">
        <f t="shared" si="5"/>
        <v>0</v>
      </c>
      <c r="L76" s="567">
        <f t="shared" si="6"/>
        <v>10.888199999999999</v>
      </c>
      <c r="M76" s="567">
        <f t="shared" si="7"/>
        <v>0</v>
      </c>
      <c r="N76" s="567">
        <f t="shared" si="8"/>
        <v>9.0665999999999993</v>
      </c>
      <c r="O76" s="567">
        <f t="shared" si="9"/>
        <v>0</v>
      </c>
      <c r="P76" s="652"/>
    </row>
    <row r="77" spans="1:16" s="524" customFormat="1" ht="13.5" thickBot="1">
      <c r="A77" s="1175"/>
      <c r="B77" s="319"/>
      <c r="C77" s="591" t="s">
        <v>135</v>
      </c>
      <c r="D77" s="592" t="s">
        <v>136</v>
      </c>
      <c r="E77" s="657">
        <v>191</v>
      </c>
      <c r="F77" s="491">
        <f t="shared" si="0"/>
        <v>114.6</v>
      </c>
      <c r="G77" s="566">
        <f t="shared" si="1"/>
        <v>0</v>
      </c>
      <c r="H77" s="567">
        <f t="shared" si="2"/>
        <v>9.6837</v>
      </c>
      <c r="I77" s="567">
        <f t="shared" si="3"/>
        <v>0</v>
      </c>
      <c r="J77" s="567">
        <f t="shared" si="4"/>
        <v>3.6671999999999998</v>
      </c>
      <c r="K77" s="567">
        <f t="shared" si="5"/>
        <v>0</v>
      </c>
      <c r="L77" s="567">
        <f t="shared" si="6"/>
        <v>3.0139800000000001</v>
      </c>
      <c r="M77" s="567">
        <f t="shared" si="7"/>
        <v>0</v>
      </c>
      <c r="N77" s="567">
        <f t="shared" si="8"/>
        <v>2.5097399999999999</v>
      </c>
      <c r="O77" s="567">
        <f t="shared" si="9"/>
        <v>0</v>
      </c>
      <c r="P77" s="652"/>
    </row>
    <row r="78" spans="1:16" s="291" customFormat="1" ht="13.5" thickBot="1">
      <c r="A78" s="1175"/>
      <c r="B78" s="319"/>
      <c r="C78" s="297" t="s">
        <v>137</v>
      </c>
      <c r="D78" s="298" t="s">
        <v>3867</v>
      </c>
      <c r="E78" s="491">
        <v>667.8</v>
      </c>
      <c r="F78" s="491">
        <f t="shared" si="0"/>
        <v>400.67999999999995</v>
      </c>
      <c r="G78" s="566">
        <f t="shared" si="1"/>
        <v>0</v>
      </c>
      <c r="H78" s="567">
        <f t="shared" ref="H78:H98" si="10">F78*0.0845</f>
        <v>33.857459999999996</v>
      </c>
      <c r="I78" s="567">
        <f t="shared" si="3"/>
        <v>0</v>
      </c>
      <c r="J78" s="567">
        <f t="shared" ref="J78:J98" si="11">F78*0.032</f>
        <v>12.821759999999999</v>
      </c>
      <c r="K78" s="567">
        <f t="shared" si="5"/>
        <v>0</v>
      </c>
      <c r="L78" s="567">
        <f t="shared" ref="L78:L98" si="12">F78*0.0263</f>
        <v>10.537883999999998</v>
      </c>
      <c r="M78" s="567">
        <f t="shared" si="7"/>
        <v>0</v>
      </c>
      <c r="N78" s="567">
        <f t="shared" ref="N78:N98" si="13">F78*0.0219</f>
        <v>8.7748919999999995</v>
      </c>
      <c r="O78" s="567">
        <f t="shared" si="9"/>
        <v>0</v>
      </c>
      <c r="P78" s="652"/>
    </row>
    <row r="79" spans="1:16" s="291" customFormat="1" ht="13.5" thickBot="1">
      <c r="A79" s="1175"/>
      <c r="B79" s="319"/>
      <c r="C79" s="297" t="s">
        <v>249</v>
      </c>
      <c r="D79" s="298" t="s">
        <v>140</v>
      </c>
      <c r="E79" s="491">
        <v>250</v>
      </c>
      <c r="F79" s="491">
        <f t="shared" si="0"/>
        <v>150</v>
      </c>
      <c r="G79" s="566">
        <f t="shared" si="1"/>
        <v>0</v>
      </c>
      <c r="H79" s="567">
        <f t="shared" si="10"/>
        <v>12.675000000000001</v>
      </c>
      <c r="I79" s="567">
        <f t="shared" si="3"/>
        <v>0</v>
      </c>
      <c r="J79" s="567">
        <f t="shared" si="11"/>
        <v>4.8</v>
      </c>
      <c r="K79" s="567">
        <f t="shared" si="5"/>
        <v>0</v>
      </c>
      <c r="L79" s="567">
        <f t="shared" si="12"/>
        <v>3.9450000000000003</v>
      </c>
      <c r="M79" s="567">
        <f t="shared" si="7"/>
        <v>0</v>
      </c>
      <c r="N79" s="567">
        <f t="shared" si="13"/>
        <v>3.2849999999999997</v>
      </c>
      <c r="O79" s="567">
        <f t="shared" si="9"/>
        <v>0</v>
      </c>
      <c r="P79" s="652"/>
    </row>
    <row r="80" spans="1:16" s="315" customFormat="1" ht="13.5" thickBot="1">
      <c r="A80" s="1175"/>
      <c r="B80" s="319"/>
      <c r="C80" s="297" t="s">
        <v>141</v>
      </c>
      <c r="D80" s="298" t="s">
        <v>174</v>
      </c>
      <c r="E80" s="491">
        <v>250</v>
      </c>
      <c r="F80" s="491">
        <f t="shared" si="0"/>
        <v>150</v>
      </c>
      <c r="G80" s="566">
        <f t="shared" si="1"/>
        <v>0</v>
      </c>
      <c r="H80" s="567">
        <f t="shared" si="10"/>
        <v>12.675000000000001</v>
      </c>
      <c r="I80" s="567">
        <f t="shared" si="3"/>
        <v>0</v>
      </c>
      <c r="J80" s="567">
        <f t="shared" si="11"/>
        <v>4.8</v>
      </c>
      <c r="K80" s="567">
        <f t="shared" si="5"/>
        <v>0</v>
      </c>
      <c r="L80" s="567">
        <f t="shared" si="12"/>
        <v>3.9450000000000003</v>
      </c>
      <c r="M80" s="567">
        <f t="shared" si="7"/>
        <v>0</v>
      </c>
      <c r="N80" s="567">
        <f t="shared" si="13"/>
        <v>3.2849999999999997</v>
      </c>
      <c r="O80" s="567">
        <f t="shared" si="9"/>
        <v>0</v>
      </c>
      <c r="P80" s="652"/>
    </row>
    <row r="81" spans="1:16" s="315" customFormat="1" ht="13.5" thickBot="1">
      <c r="A81" s="1175"/>
      <c r="B81" s="319"/>
      <c r="C81" s="565" t="s">
        <v>250</v>
      </c>
      <c r="D81" s="575" t="s">
        <v>3911</v>
      </c>
      <c r="E81" s="491">
        <v>3930.11</v>
      </c>
      <c r="F81" s="491">
        <f t="shared" si="0"/>
        <v>2358.0659999999998</v>
      </c>
      <c r="G81" s="566">
        <f t="shared" si="1"/>
        <v>0</v>
      </c>
      <c r="H81" s="567">
        <f t="shared" si="10"/>
        <v>199.25657699999999</v>
      </c>
      <c r="I81" s="567">
        <f t="shared" si="3"/>
        <v>0</v>
      </c>
      <c r="J81" s="567">
        <f t="shared" si="11"/>
        <v>75.458112</v>
      </c>
      <c r="K81" s="567">
        <f t="shared" si="5"/>
        <v>0</v>
      </c>
      <c r="L81" s="567">
        <f t="shared" si="12"/>
        <v>62.017135799999998</v>
      </c>
      <c r="M81" s="567">
        <f t="shared" si="7"/>
        <v>0</v>
      </c>
      <c r="N81" s="567">
        <f t="shared" si="13"/>
        <v>51.641645399999994</v>
      </c>
      <c r="O81" s="567">
        <f t="shared" si="9"/>
        <v>0</v>
      </c>
      <c r="P81" s="652"/>
    </row>
    <row r="82" spans="1:16" s="315" customFormat="1" ht="13.5" thickBot="1">
      <c r="A82" s="1175"/>
      <c r="B82" s="319"/>
      <c r="C82" s="297" t="s">
        <v>251</v>
      </c>
      <c r="D82" s="575" t="s">
        <v>3868</v>
      </c>
      <c r="E82" s="491">
        <v>1959</v>
      </c>
      <c r="F82" s="491">
        <f t="shared" si="0"/>
        <v>1175.3999999999999</v>
      </c>
      <c r="G82" s="566">
        <f t="shared" si="1"/>
        <v>0</v>
      </c>
      <c r="H82" s="567">
        <f t="shared" si="10"/>
        <v>99.321299999999994</v>
      </c>
      <c r="I82" s="567">
        <f t="shared" si="3"/>
        <v>0</v>
      </c>
      <c r="J82" s="567">
        <f t="shared" si="11"/>
        <v>37.612799999999993</v>
      </c>
      <c r="K82" s="567">
        <f t="shared" si="5"/>
        <v>0</v>
      </c>
      <c r="L82" s="567">
        <f t="shared" si="12"/>
        <v>30.913019999999996</v>
      </c>
      <c r="M82" s="567">
        <f t="shared" si="7"/>
        <v>0</v>
      </c>
      <c r="N82" s="567">
        <f t="shared" si="13"/>
        <v>25.741259999999997</v>
      </c>
      <c r="O82" s="567">
        <f t="shared" si="9"/>
        <v>0</v>
      </c>
      <c r="P82" s="652"/>
    </row>
    <row r="83" spans="1:16" s="291" customFormat="1" ht="13.5" thickBot="1">
      <c r="A83" s="1175"/>
      <c r="B83" s="319"/>
      <c r="C83" s="297" t="s">
        <v>252</v>
      </c>
      <c r="D83" s="298" t="s">
        <v>3869</v>
      </c>
      <c r="E83" s="491">
        <v>996.17</v>
      </c>
      <c r="F83" s="491">
        <f t="shared" si="0"/>
        <v>597.702</v>
      </c>
      <c r="G83" s="566">
        <f t="shared" si="1"/>
        <v>0</v>
      </c>
      <c r="H83" s="567">
        <f t="shared" si="10"/>
        <v>50.505819000000002</v>
      </c>
      <c r="I83" s="567">
        <f t="shared" si="3"/>
        <v>0</v>
      </c>
      <c r="J83" s="567">
        <f t="shared" si="11"/>
        <v>19.126463999999999</v>
      </c>
      <c r="K83" s="567">
        <f t="shared" si="5"/>
        <v>0</v>
      </c>
      <c r="L83" s="567">
        <f t="shared" si="12"/>
        <v>15.7195626</v>
      </c>
      <c r="M83" s="567">
        <f t="shared" si="7"/>
        <v>0</v>
      </c>
      <c r="N83" s="567">
        <f t="shared" si="13"/>
        <v>13.0896738</v>
      </c>
      <c r="O83" s="567">
        <f t="shared" si="9"/>
        <v>0</v>
      </c>
      <c r="P83" s="652"/>
    </row>
    <row r="84" spans="1:16" s="315" customFormat="1" ht="13.5" thickBot="1">
      <c r="A84" s="1175"/>
      <c r="B84" s="319"/>
      <c r="C84" s="297" t="s">
        <v>3870</v>
      </c>
      <c r="D84" s="298" t="s">
        <v>433</v>
      </c>
      <c r="E84" s="491">
        <v>131.61000000000001</v>
      </c>
      <c r="F84" s="491">
        <f t="shared" si="0"/>
        <v>78.966000000000008</v>
      </c>
      <c r="G84" s="566">
        <f t="shared" si="1"/>
        <v>0</v>
      </c>
      <c r="H84" s="567">
        <f t="shared" si="10"/>
        <v>6.6726270000000012</v>
      </c>
      <c r="I84" s="567">
        <f t="shared" si="3"/>
        <v>0</v>
      </c>
      <c r="J84" s="567">
        <f t="shared" si="11"/>
        <v>2.5269120000000003</v>
      </c>
      <c r="K84" s="567">
        <f t="shared" si="5"/>
        <v>0</v>
      </c>
      <c r="L84" s="567">
        <f t="shared" si="12"/>
        <v>2.0768058000000003</v>
      </c>
      <c r="M84" s="567">
        <f t="shared" si="7"/>
        <v>0</v>
      </c>
      <c r="N84" s="567">
        <f t="shared" si="13"/>
        <v>1.7293554000000002</v>
      </c>
      <c r="O84" s="567">
        <f t="shared" si="9"/>
        <v>0</v>
      </c>
      <c r="P84" s="652"/>
    </row>
    <row r="85" spans="1:16" s="315" customFormat="1" ht="13.5" thickBot="1">
      <c r="A85" s="1175"/>
      <c r="B85" s="319"/>
      <c r="C85" s="565" t="s">
        <v>3871</v>
      </c>
      <c r="D85" s="658" t="s">
        <v>385</v>
      </c>
      <c r="E85" s="491">
        <v>1075.3499999999999</v>
      </c>
      <c r="F85" s="491">
        <f t="shared" si="0"/>
        <v>645.20999999999992</v>
      </c>
      <c r="G85" s="566">
        <f t="shared" si="1"/>
        <v>0</v>
      </c>
      <c r="H85" s="567">
        <f t="shared" si="10"/>
        <v>54.520244999999996</v>
      </c>
      <c r="I85" s="567">
        <f t="shared" si="3"/>
        <v>0</v>
      </c>
      <c r="J85" s="567">
        <f t="shared" si="11"/>
        <v>20.646719999999998</v>
      </c>
      <c r="K85" s="567">
        <f t="shared" si="5"/>
        <v>0</v>
      </c>
      <c r="L85" s="567">
        <f t="shared" si="12"/>
        <v>16.969023</v>
      </c>
      <c r="M85" s="567">
        <f t="shared" si="7"/>
        <v>0</v>
      </c>
      <c r="N85" s="567">
        <f t="shared" si="13"/>
        <v>14.130098999999998</v>
      </c>
      <c r="O85" s="567">
        <f t="shared" si="9"/>
        <v>0</v>
      </c>
      <c r="P85" s="652"/>
    </row>
    <row r="86" spans="1:16" s="519" customFormat="1" ht="13.5" thickBot="1">
      <c r="A86" s="1175"/>
      <c r="B86" s="319"/>
      <c r="C86" s="565" t="s">
        <v>3872</v>
      </c>
      <c r="D86" s="298" t="s">
        <v>386</v>
      </c>
      <c r="E86" s="491">
        <v>1402.77</v>
      </c>
      <c r="F86" s="491">
        <f t="shared" si="0"/>
        <v>841.66199999999992</v>
      </c>
      <c r="G86" s="566">
        <f t="shared" si="1"/>
        <v>0</v>
      </c>
      <c r="H86" s="567">
        <f t="shared" si="10"/>
        <v>71.120439000000005</v>
      </c>
      <c r="I86" s="567">
        <f t="shared" si="3"/>
        <v>0</v>
      </c>
      <c r="J86" s="567">
        <f t="shared" si="11"/>
        <v>26.933183999999997</v>
      </c>
      <c r="K86" s="567">
        <f t="shared" si="5"/>
        <v>0</v>
      </c>
      <c r="L86" s="567">
        <f t="shared" si="12"/>
        <v>22.135710599999999</v>
      </c>
      <c r="M86" s="567">
        <f t="shared" si="7"/>
        <v>0</v>
      </c>
      <c r="N86" s="567">
        <f t="shared" si="13"/>
        <v>18.432397799999997</v>
      </c>
      <c r="O86" s="567">
        <f t="shared" si="9"/>
        <v>0</v>
      </c>
      <c r="P86" s="652"/>
    </row>
    <row r="87" spans="1:16" s="524" customFormat="1" ht="13.5" thickBot="1">
      <c r="A87" s="1175"/>
      <c r="B87" s="319"/>
      <c r="C87" s="565" t="s">
        <v>3873</v>
      </c>
      <c r="D87" s="298" t="s">
        <v>387</v>
      </c>
      <c r="E87" s="491">
        <v>1651.01</v>
      </c>
      <c r="F87" s="491">
        <f t="shared" si="0"/>
        <v>990.60599999999999</v>
      </c>
      <c r="G87" s="566">
        <f t="shared" si="1"/>
        <v>0</v>
      </c>
      <c r="H87" s="567">
        <f t="shared" si="10"/>
        <v>83.706207000000006</v>
      </c>
      <c r="I87" s="567">
        <f t="shared" si="3"/>
        <v>0</v>
      </c>
      <c r="J87" s="567">
        <f t="shared" si="11"/>
        <v>31.699392</v>
      </c>
      <c r="K87" s="567">
        <f t="shared" si="5"/>
        <v>0</v>
      </c>
      <c r="L87" s="567">
        <f t="shared" si="12"/>
        <v>26.052937799999999</v>
      </c>
      <c r="M87" s="567">
        <f t="shared" si="7"/>
        <v>0</v>
      </c>
      <c r="N87" s="567">
        <f t="shared" si="13"/>
        <v>21.694271399999998</v>
      </c>
      <c r="O87" s="567">
        <f t="shared" si="9"/>
        <v>0</v>
      </c>
      <c r="P87" s="652"/>
    </row>
    <row r="88" spans="1:16" s="519" customFormat="1" ht="13.5" thickBot="1">
      <c r="A88" s="1175"/>
      <c r="B88" s="319"/>
      <c r="C88" s="297" t="s">
        <v>254</v>
      </c>
      <c r="D88" s="298" t="s">
        <v>3874</v>
      </c>
      <c r="E88" s="491">
        <v>1964.52</v>
      </c>
      <c r="F88" s="491">
        <f t="shared" si="0"/>
        <v>1178.712</v>
      </c>
      <c r="G88" s="566">
        <f t="shared" si="1"/>
        <v>0</v>
      </c>
      <c r="H88" s="567">
        <f t="shared" si="10"/>
        <v>99.601164000000011</v>
      </c>
      <c r="I88" s="567">
        <f t="shared" si="3"/>
        <v>0</v>
      </c>
      <c r="J88" s="567">
        <f t="shared" si="11"/>
        <v>37.718783999999999</v>
      </c>
      <c r="K88" s="567">
        <f t="shared" si="5"/>
        <v>0</v>
      </c>
      <c r="L88" s="567">
        <f t="shared" si="12"/>
        <v>31.000125600000001</v>
      </c>
      <c r="M88" s="567">
        <f t="shared" si="7"/>
        <v>0</v>
      </c>
      <c r="N88" s="567">
        <f t="shared" si="13"/>
        <v>25.813792799999998</v>
      </c>
      <c r="O88" s="567">
        <f t="shared" si="9"/>
        <v>0</v>
      </c>
      <c r="P88" s="652"/>
    </row>
    <row r="89" spans="1:16" s="519" customFormat="1" ht="13.5" thickBot="1">
      <c r="A89" s="1175"/>
      <c r="B89" s="319"/>
      <c r="C89" s="297" t="s">
        <v>528</v>
      </c>
      <c r="D89" s="298" t="s">
        <v>3912</v>
      </c>
      <c r="E89" s="491">
        <v>1306.47</v>
      </c>
      <c r="F89" s="491">
        <f t="shared" si="0"/>
        <v>783.88199999999995</v>
      </c>
      <c r="G89" s="566">
        <f t="shared" si="1"/>
        <v>0</v>
      </c>
      <c r="H89" s="567">
        <f t="shared" si="10"/>
        <v>66.238028999999997</v>
      </c>
      <c r="I89" s="567">
        <f t="shared" si="3"/>
        <v>0</v>
      </c>
      <c r="J89" s="567">
        <f t="shared" si="11"/>
        <v>25.084223999999999</v>
      </c>
      <c r="K89" s="567">
        <f t="shared" si="5"/>
        <v>0</v>
      </c>
      <c r="L89" s="567">
        <f t="shared" si="12"/>
        <v>20.616096599999999</v>
      </c>
      <c r="M89" s="567">
        <f t="shared" si="7"/>
        <v>0</v>
      </c>
      <c r="N89" s="567">
        <f t="shared" si="13"/>
        <v>17.167015799999998</v>
      </c>
      <c r="O89" s="567">
        <f t="shared" si="9"/>
        <v>0</v>
      </c>
      <c r="P89" s="652"/>
    </row>
    <row r="90" spans="1:16" s="291" customFormat="1" ht="13.5" thickBot="1">
      <c r="A90" s="1175"/>
      <c r="B90" s="319"/>
      <c r="C90" s="651" t="s">
        <v>256</v>
      </c>
      <c r="D90" s="298" t="s">
        <v>3875</v>
      </c>
      <c r="E90" s="491">
        <v>690.15</v>
      </c>
      <c r="F90" s="491">
        <f t="shared" si="0"/>
        <v>414.09</v>
      </c>
      <c r="G90" s="566">
        <f t="shared" si="1"/>
        <v>0</v>
      </c>
      <c r="H90" s="567">
        <f t="shared" si="10"/>
        <v>34.990605000000002</v>
      </c>
      <c r="I90" s="567">
        <f t="shared" si="3"/>
        <v>0</v>
      </c>
      <c r="J90" s="567">
        <f t="shared" si="11"/>
        <v>13.250879999999999</v>
      </c>
      <c r="K90" s="567">
        <f t="shared" si="5"/>
        <v>0</v>
      </c>
      <c r="L90" s="567">
        <f t="shared" si="12"/>
        <v>10.890566999999999</v>
      </c>
      <c r="M90" s="567">
        <f t="shared" si="7"/>
        <v>0</v>
      </c>
      <c r="N90" s="567">
        <f t="shared" si="13"/>
        <v>9.0685709999999986</v>
      </c>
      <c r="O90" s="567">
        <f t="shared" si="9"/>
        <v>0</v>
      </c>
      <c r="P90" s="652"/>
    </row>
    <row r="91" spans="1:16" s="291" customFormat="1" ht="13.5" thickBot="1">
      <c r="A91" s="1175"/>
      <c r="B91" s="319"/>
      <c r="C91" s="297" t="s">
        <v>368</v>
      </c>
      <c r="D91" s="298" t="s">
        <v>434</v>
      </c>
      <c r="E91" s="491">
        <v>1000.45</v>
      </c>
      <c r="F91" s="491">
        <f t="shared" si="0"/>
        <v>600.27</v>
      </c>
      <c r="G91" s="566">
        <f t="shared" si="1"/>
        <v>0</v>
      </c>
      <c r="H91" s="567">
        <f t="shared" si="10"/>
        <v>50.722815000000004</v>
      </c>
      <c r="I91" s="567">
        <f t="shared" si="3"/>
        <v>0</v>
      </c>
      <c r="J91" s="567">
        <f t="shared" si="11"/>
        <v>19.208639999999999</v>
      </c>
      <c r="K91" s="567">
        <f t="shared" si="5"/>
        <v>0</v>
      </c>
      <c r="L91" s="567">
        <f t="shared" si="12"/>
        <v>15.787101</v>
      </c>
      <c r="M91" s="567">
        <f t="shared" si="7"/>
        <v>0</v>
      </c>
      <c r="N91" s="567">
        <f t="shared" si="13"/>
        <v>13.145912999999998</v>
      </c>
      <c r="O91" s="567">
        <f t="shared" si="9"/>
        <v>0</v>
      </c>
      <c r="P91" s="652"/>
    </row>
    <row r="92" spans="1:16" s="519" customFormat="1" ht="13.5" thickBot="1">
      <c r="A92" s="1175"/>
      <c r="B92" s="319"/>
      <c r="C92" s="651" t="s">
        <v>3876</v>
      </c>
      <c r="D92" s="298" t="s">
        <v>3877</v>
      </c>
      <c r="E92" s="491">
        <v>690.15</v>
      </c>
      <c r="F92" s="491">
        <f t="shared" si="0"/>
        <v>414.09</v>
      </c>
      <c r="G92" s="566">
        <f t="shared" si="1"/>
        <v>0</v>
      </c>
      <c r="H92" s="567">
        <f t="shared" si="10"/>
        <v>34.990605000000002</v>
      </c>
      <c r="I92" s="567">
        <f t="shared" si="3"/>
        <v>0</v>
      </c>
      <c r="J92" s="567">
        <f t="shared" si="11"/>
        <v>13.250879999999999</v>
      </c>
      <c r="K92" s="567">
        <f t="shared" si="5"/>
        <v>0</v>
      </c>
      <c r="L92" s="567">
        <f t="shared" si="12"/>
        <v>10.890566999999999</v>
      </c>
      <c r="M92" s="567">
        <f t="shared" si="7"/>
        <v>0</v>
      </c>
      <c r="N92" s="567">
        <f t="shared" si="13"/>
        <v>9.0685709999999986</v>
      </c>
      <c r="O92" s="567">
        <f t="shared" si="9"/>
        <v>0</v>
      </c>
      <c r="P92" s="652"/>
    </row>
    <row r="93" spans="1:16" s="291" customFormat="1" ht="13.5" thickBot="1">
      <c r="A93" s="1175"/>
      <c r="B93" s="319"/>
      <c r="C93" s="297" t="s">
        <v>257</v>
      </c>
      <c r="D93" s="298" t="s">
        <v>3878</v>
      </c>
      <c r="E93" s="491">
        <v>1348</v>
      </c>
      <c r="F93" s="594">
        <f t="shared" si="0"/>
        <v>808.8</v>
      </c>
      <c r="G93" s="396">
        <f t="shared" si="1"/>
        <v>0</v>
      </c>
      <c r="H93" s="397">
        <f t="shared" si="10"/>
        <v>68.343599999999995</v>
      </c>
      <c r="I93" s="397">
        <f t="shared" si="3"/>
        <v>0</v>
      </c>
      <c r="J93" s="397">
        <f t="shared" si="11"/>
        <v>25.881599999999999</v>
      </c>
      <c r="K93" s="397">
        <f t="shared" si="5"/>
        <v>0</v>
      </c>
      <c r="L93" s="397">
        <f t="shared" si="12"/>
        <v>21.271439999999998</v>
      </c>
      <c r="M93" s="397">
        <f t="shared" si="7"/>
        <v>0</v>
      </c>
      <c r="N93" s="397">
        <f t="shared" si="13"/>
        <v>17.712719999999997</v>
      </c>
      <c r="O93" s="397">
        <f t="shared" si="9"/>
        <v>0</v>
      </c>
      <c r="P93" s="652"/>
    </row>
    <row r="94" spans="1:16" s="291" customFormat="1" ht="13.5" thickBot="1">
      <c r="A94" s="1175"/>
      <c r="B94" s="319"/>
      <c r="C94" s="297" t="s">
        <v>259</v>
      </c>
      <c r="D94" s="298" t="s">
        <v>436</v>
      </c>
      <c r="E94" s="491">
        <v>32.1</v>
      </c>
      <c r="F94" s="594">
        <f t="shared" si="0"/>
        <v>19.260000000000002</v>
      </c>
      <c r="G94" s="396">
        <f t="shared" si="1"/>
        <v>0</v>
      </c>
      <c r="H94" s="397">
        <f t="shared" si="10"/>
        <v>1.6274700000000002</v>
      </c>
      <c r="I94" s="397">
        <f t="shared" si="3"/>
        <v>0</v>
      </c>
      <c r="J94" s="397">
        <f t="shared" si="11"/>
        <v>0.61632000000000009</v>
      </c>
      <c r="K94" s="397">
        <f t="shared" si="5"/>
        <v>0</v>
      </c>
      <c r="L94" s="397">
        <f t="shared" si="12"/>
        <v>0.50653800000000004</v>
      </c>
      <c r="M94" s="397">
        <f t="shared" si="7"/>
        <v>0</v>
      </c>
      <c r="N94" s="397">
        <f t="shared" si="13"/>
        <v>0.421794</v>
      </c>
      <c r="O94" s="397">
        <f t="shared" si="9"/>
        <v>0</v>
      </c>
      <c r="P94" s="652"/>
    </row>
    <row r="95" spans="1:16" s="291" customFormat="1" ht="13.5" thickBot="1">
      <c r="A95" s="1175"/>
      <c r="B95" s="319"/>
      <c r="C95" s="297" t="s">
        <v>527</v>
      </c>
      <c r="D95" s="298" t="s">
        <v>224</v>
      </c>
      <c r="E95" s="491">
        <v>35.31</v>
      </c>
      <c r="F95" s="491">
        <f t="shared" si="0"/>
        <v>21.186</v>
      </c>
      <c r="G95" s="566">
        <f t="shared" si="1"/>
        <v>0</v>
      </c>
      <c r="H95" s="567">
        <f t="shared" si="10"/>
        <v>1.7902170000000002</v>
      </c>
      <c r="I95" s="567">
        <f t="shared" si="3"/>
        <v>0</v>
      </c>
      <c r="J95" s="567">
        <f t="shared" si="11"/>
        <v>0.677952</v>
      </c>
      <c r="K95" s="567">
        <f t="shared" si="5"/>
        <v>0</v>
      </c>
      <c r="L95" s="567">
        <f t="shared" si="12"/>
        <v>0.55719180000000001</v>
      </c>
      <c r="M95" s="567">
        <f t="shared" si="7"/>
        <v>0</v>
      </c>
      <c r="N95" s="567">
        <f t="shared" si="13"/>
        <v>0.46397339999999998</v>
      </c>
      <c r="O95" s="567">
        <f t="shared" si="9"/>
        <v>0</v>
      </c>
      <c r="P95" s="652"/>
    </row>
    <row r="96" spans="1:16" s="291" customFormat="1" ht="13.5" thickBot="1">
      <c r="A96" s="1175"/>
      <c r="B96" s="319"/>
      <c r="C96" s="565" t="s">
        <v>530</v>
      </c>
      <c r="D96" s="658" t="s">
        <v>3879</v>
      </c>
      <c r="E96" s="491">
        <v>306.02</v>
      </c>
      <c r="F96" s="491">
        <f t="shared" si="0"/>
        <v>183.61199999999999</v>
      </c>
      <c r="G96" s="566">
        <f t="shared" si="1"/>
        <v>0</v>
      </c>
      <c r="H96" s="567">
        <f t="shared" si="10"/>
        <v>15.515214</v>
      </c>
      <c r="I96" s="567">
        <f t="shared" si="3"/>
        <v>0</v>
      </c>
      <c r="J96" s="567">
        <f t="shared" si="11"/>
        <v>5.8755839999999999</v>
      </c>
      <c r="K96" s="567">
        <f t="shared" si="5"/>
        <v>0</v>
      </c>
      <c r="L96" s="567">
        <f t="shared" si="12"/>
        <v>4.8289955999999998</v>
      </c>
      <c r="M96" s="567">
        <f t="shared" si="7"/>
        <v>0</v>
      </c>
      <c r="N96" s="567">
        <f t="shared" si="13"/>
        <v>4.0211027999999995</v>
      </c>
      <c r="O96" s="567">
        <f t="shared" si="9"/>
        <v>0</v>
      </c>
      <c r="P96" s="652"/>
    </row>
    <row r="97" spans="1:18" s="291" customFormat="1" ht="13.5" thickBot="1">
      <c r="A97" s="1175"/>
      <c r="B97" s="319"/>
      <c r="C97" s="651" t="s">
        <v>3880</v>
      </c>
      <c r="D97" s="298" t="s">
        <v>225</v>
      </c>
      <c r="E97" s="491">
        <v>132.68</v>
      </c>
      <c r="F97" s="491">
        <f t="shared" si="0"/>
        <v>79.608000000000004</v>
      </c>
      <c r="G97" s="566">
        <f t="shared" si="1"/>
        <v>0</v>
      </c>
      <c r="H97" s="567">
        <f t="shared" si="10"/>
        <v>6.7268760000000007</v>
      </c>
      <c r="I97" s="567">
        <f t="shared" si="3"/>
        <v>0</v>
      </c>
      <c r="J97" s="567">
        <f t="shared" si="11"/>
        <v>2.5474560000000004</v>
      </c>
      <c r="K97" s="567">
        <f t="shared" si="5"/>
        <v>0</v>
      </c>
      <c r="L97" s="567">
        <f t="shared" si="12"/>
        <v>2.0936904000000003</v>
      </c>
      <c r="M97" s="567">
        <f t="shared" si="7"/>
        <v>0</v>
      </c>
      <c r="N97" s="567">
        <f t="shared" si="13"/>
        <v>1.7434152000000001</v>
      </c>
      <c r="O97" s="567">
        <f t="shared" si="9"/>
        <v>0</v>
      </c>
      <c r="P97" s="652"/>
    </row>
    <row r="98" spans="1:18" s="519" customFormat="1" ht="13.5" thickBot="1">
      <c r="A98" s="1176"/>
      <c r="B98" s="319"/>
      <c r="C98" s="297" t="s">
        <v>369</v>
      </c>
      <c r="D98" s="298" t="s">
        <v>3913</v>
      </c>
      <c r="E98" s="491">
        <v>5896.77</v>
      </c>
      <c r="F98" s="491">
        <f t="shared" si="0"/>
        <v>3538.0620000000004</v>
      </c>
      <c r="G98" s="566">
        <f t="shared" si="1"/>
        <v>0</v>
      </c>
      <c r="H98" s="567">
        <f t="shared" si="10"/>
        <v>298.96623900000003</v>
      </c>
      <c r="I98" s="567">
        <f t="shared" si="3"/>
        <v>0</v>
      </c>
      <c r="J98" s="567">
        <f t="shared" si="11"/>
        <v>113.21798400000002</v>
      </c>
      <c r="K98" s="567">
        <f t="shared" si="5"/>
        <v>0</v>
      </c>
      <c r="L98" s="567">
        <f t="shared" si="12"/>
        <v>93.051030600000004</v>
      </c>
      <c r="M98" s="567">
        <f t="shared" si="7"/>
        <v>0</v>
      </c>
      <c r="N98" s="567">
        <f t="shared" si="13"/>
        <v>77.4835578</v>
      </c>
      <c r="O98" s="567">
        <f t="shared" si="9"/>
        <v>0</v>
      </c>
      <c r="P98" s="652"/>
    </row>
    <row r="99" spans="1:18" s="315" customFormat="1" ht="15">
      <c r="D99" s="1008" t="s">
        <v>65</v>
      </c>
      <c r="E99" s="1088"/>
      <c r="F99" s="1088"/>
      <c r="G99" s="328">
        <f t="array" ref="G99">SUM(G49:G98)+G37:G49:G98+G41:G49:G98+G45</f>
        <v>0</v>
      </c>
      <c r="H99" s="329" t="s">
        <v>66</v>
      </c>
      <c r="I99" s="328">
        <f t="array" ref="I99">SUM(I49:I98)+I37:I49:I98+I41:I49:I98+I45</f>
        <v>0</v>
      </c>
      <c r="J99" s="329" t="s">
        <v>67</v>
      </c>
      <c r="K99" s="328">
        <f t="array" ref="K99">SUM(K49:K98)+K37:K49:K98+K41:K49:K98+K45</f>
        <v>0</v>
      </c>
      <c r="L99" s="329" t="s">
        <v>68</v>
      </c>
      <c r="M99" s="328">
        <f t="array" ref="M99">SUM(M49:M98)+M37:M49:M98+M41:M49:M98+M45</f>
        <v>0</v>
      </c>
      <c r="N99" s="329" t="s">
        <v>69</v>
      </c>
      <c r="O99" s="328">
        <f t="array" ref="O99">SUM(O49:O98)+O37:O49:O98+O41:O49:O98+O45</f>
        <v>0</v>
      </c>
      <c r="P99" s="659"/>
      <c r="Q99" s="659"/>
    </row>
    <row r="100" spans="1:18" s="315" customFormat="1">
      <c r="F100" s="331"/>
      <c r="G100" s="659"/>
      <c r="I100" s="659"/>
      <c r="J100" s="659"/>
      <c r="K100" s="659"/>
      <c r="L100" s="659"/>
      <c r="M100" s="659"/>
      <c r="N100" s="659"/>
      <c r="O100" s="659"/>
      <c r="P100" s="659"/>
      <c r="Q100" s="659"/>
      <c r="R100" s="659"/>
    </row>
    <row r="101" spans="1:18" s="315" customFormat="1">
      <c r="F101" s="331"/>
      <c r="G101" s="659"/>
      <c r="I101" s="659"/>
      <c r="J101" s="659"/>
      <c r="K101" s="659"/>
      <c r="L101" s="659"/>
      <c r="M101" s="659"/>
      <c r="N101" s="659"/>
      <c r="O101" s="659"/>
      <c r="P101" s="659"/>
      <c r="Q101" s="659"/>
      <c r="R101" s="659"/>
    </row>
    <row r="102" spans="1:18" s="315" customFormat="1">
      <c r="F102" s="331"/>
      <c r="G102" s="659"/>
      <c r="I102" s="659"/>
      <c r="J102" s="659"/>
      <c r="K102" s="659"/>
      <c r="L102" s="659"/>
      <c r="M102" s="659"/>
      <c r="N102" s="659"/>
      <c r="O102" s="659"/>
      <c r="P102" s="659"/>
      <c r="Q102" s="659"/>
      <c r="R102" s="659"/>
    </row>
    <row r="103" spans="1:18" s="315" customFormat="1">
      <c r="F103" s="331"/>
    </row>
    <row r="104" spans="1:18" s="315" customFormat="1" ht="14.25">
      <c r="B104" s="572"/>
      <c r="C104" s="572"/>
      <c r="F104" s="660"/>
    </row>
    <row r="105" spans="1:18" s="315" customFormat="1" ht="14.25">
      <c r="B105" s="574"/>
      <c r="C105" s="574"/>
      <c r="F105" s="660"/>
    </row>
    <row r="119" spans="2:3">
      <c r="B119" s="258"/>
      <c r="C119" s="258"/>
    </row>
  </sheetData>
  <mergeCells count="56">
    <mergeCell ref="A27:D27"/>
    <mergeCell ref="E27:J27"/>
    <mergeCell ref="K27:O27"/>
    <mergeCell ref="A3:O3"/>
    <mergeCell ref="A4:O4"/>
    <mergeCell ref="H8:K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I33:K34"/>
    <mergeCell ref="D34:H34"/>
    <mergeCell ref="F35:G35"/>
    <mergeCell ref="H35:O35"/>
    <mergeCell ref="A37:A39"/>
    <mergeCell ref="B37:B39"/>
    <mergeCell ref="G37:G39"/>
    <mergeCell ref="I37:I39"/>
    <mergeCell ref="K37:K39"/>
    <mergeCell ref="M37:M39"/>
    <mergeCell ref="O37:O39"/>
    <mergeCell ref="M41:M43"/>
    <mergeCell ref="O41:O43"/>
    <mergeCell ref="O45:O47"/>
    <mergeCell ref="A48:O48"/>
    <mergeCell ref="A49:A98"/>
    <mergeCell ref="K45:K47"/>
    <mergeCell ref="M45:M47"/>
    <mergeCell ref="A41:A43"/>
    <mergeCell ref="B41:B43"/>
    <mergeCell ref="G41:G43"/>
    <mergeCell ref="I41:I43"/>
    <mergeCell ref="K41:K43"/>
    <mergeCell ref="D99:F99"/>
    <mergeCell ref="A45:A47"/>
    <mergeCell ref="B45:B47"/>
    <mergeCell ref="G45:G47"/>
    <mergeCell ref="I45:I4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A8D9-E91B-4AB5-8CE5-DFE7F1FCA1B6}">
  <sheetPr>
    <tabColor indexed="62"/>
  </sheetPr>
  <dimension ref="A1:P98"/>
  <sheetViews>
    <sheetView topLeftCell="A21" zoomScale="92" zoomScaleNormal="92" workbookViewId="0">
      <selection activeCell="E34" sqref="E34"/>
    </sheetView>
  </sheetViews>
  <sheetFormatPr defaultColWidth="8.85546875" defaultRowHeight="12.75"/>
  <cols>
    <col min="1" max="1" width="14.42578125" style="256" customWidth="1"/>
    <col min="2" max="2" width="9.85546875" style="256" customWidth="1"/>
    <col min="3" max="3" width="16.140625" style="549" customWidth="1"/>
    <col min="4" max="4" width="49.28515625" style="256" customWidth="1"/>
    <col min="5" max="5" width="16.140625" style="256" customWidth="1"/>
    <col min="6" max="6" width="15.42578125" style="333" customWidth="1"/>
    <col min="7" max="7" width="21.85546875" style="333" customWidth="1"/>
    <col min="8" max="8" width="22.7109375" style="256" customWidth="1"/>
    <col min="9" max="9" width="21.85546875" style="256" customWidth="1"/>
    <col min="10" max="10" width="22.5703125" style="256" customWidth="1"/>
    <col min="11" max="11" width="21.85546875" style="256" customWidth="1"/>
    <col min="12" max="12" width="23" style="256" customWidth="1"/>
    <col min="13" max="13" width="21.85546875" style="256" customWidth="1"/>
    <col min="14" max="14" width="23.42578125" style="256" customWidth="1"/>
    <col min="15" max="15" width="21.85546875" style="256" customWidth="1"/>
    <col min="16" max="16384" width="8.85546875" style="256"/>
  </cols>
  <sheetData>
    <row r="1" spans="1:15" s="315" customFormat="1" ht="13.5" thickBot="1">
      <c r="B1" s="632"/>
      <c r="C1" s="632"/>
      <c r="D1" s="258"/>
      <c r="E1" s="258"/>
      <c r="F1" s="259"/>
      <c r="G1" s="259"/>
      <c r="H1" s="259"/>
      <c r="I1" s="259"/>
      <c r="J1" s="259"/>
      <c r="K1" s="258"/>
      <c r="L1" s="259"/>
    </row>
    <row r="2" spans="1:15" s="315" customFormat="1">
      <c r="A2" s="633"/>
      <c r="B2" s="634"/>
      <c r="C2" s="634"/>
      <c r="D2" s="262"/>
      <c r="E2" s="262"/>
      <c r="F2" s="263"/>
      <c r="G2" s="263"/>
      <c r="H2" s="263"/>
      <c r="I2" s="264"/>
      <c r="J2" s="264"/>
      <c r="K2" s="264"/>
      <c r="L2" s="264"/>
      <c r="M2" s="633"/>
      <c r="N2" s="633"/>
      <c r="O2" s="633"/>
    </row>
    <row r="3" spans="1:15" s="315" customFormat="1">
      <c r="B3" s="632"/>
      <c r="C3" s="632"/>
      <c r="D3" s="258"/>
      <c r="E3" s="258"/>
      <c r="F3" s="259"/>
      <c r="G3" s="259"/>
      <c r="H3" s="259"/>
      <c r="I3" s="265"/>
      <c r="J3" s="265"/>
      <c r="K3" s="265"/>
      <c r="L3" s="265"/>
    </row>
    <row r="4" spans="1:15" s="315" customFormat="1" ht="27">
      <c r="A4" s="1112" t="s">
        <v>370</v>
      </c>
      <c r="B4" s="1020"/>
      <c r="C4" s="1020"/>
      <c r="D4" s="1020"/>
      <c r="E4" s="1020"/>
      <c r="F4" s="1020"/>
      <c r="G4" s="1020"/>
      <c r="H4" s="1020"/>
      <c r="I4" s="1020"/>
      <c r="J4" s="1020"/>
      <c r="K4" s="1020"/>
      <c r="L4" s="1020"/>
      <c r="M4" s="1020"/>
      <c r="N4" s="1020"/>
      <c r="O4" s="1020"/>
    </row>
    <row r="5" spans="1:15" ht="56.25" customHeight="1">
      <c r="A5" s="1113" t="s">
        <v>227</v>
      </c>
      <c r="B5" s="1114"/>
      <c r="C5" s="1114"/>
      <c r="D5" s="1114"/>
      <c r="E5" s="1114"/>
      <c r="F5" s="1114"/>
      <c r="G5" s="1114"/>
      <c r="H5" s="1114"/>
      <c r="I5" s="1114"/>
      <c r="J5" s="1114"/>
      <c r="K5" s="1114"/>
      <c r="L5" s="1114"/>
      <c r="M5" s="1114"/>
      <c r="N5" s="1114"/>
      <c r="O5" s="1114"/>
    </row>
    <row r="6" spans="1:15" ht="13.5" thickBot="1">
      <c r="A6" s="267"/>
      <c r="B6" s="267"/>
      <c r="C6" s="662"/>
      <c r="D6" s="662"/>
      <c r="E6" s="662"/>
      <c r="F6" s="662"/>
      <c r="G6" s="662"/>
      <c r="H6" s="662"/>
      <c r="I6" s="662"/>
      <c r="J6" s="662"/>
      <c r="K6" s="662"/>
      <c r="L6" s="267"/>
      <c r="M6" s="267"/>
      <c r="N6" s="267"/>
      <c r="O6" s="267"/>
    </row>
    <row r="7" spans="1:15" ht="14.25">
      <c r="B7" s="631"/>
      <c r="C7" s="631"/>
      <c r="D7" s="269"/>
      <c r="E7" s="269"/>
      <c r="F7" s="269"/>
      <c r="G7" s="269"/>
      <c r="H7" s="269"/>
      <c r="I7" s="269"/>
      <c r="J7" s="269"/>
      <c r="K7" s="265"/>
      <c r="L7" s="270"/>
      <c r="M7" s="265"/>
      <c r="N7" s="265"/>
    </row>
    <row r="8" spans="1:15" ht="14.25">
      <c r="B8" s="282"/>
      <c r="C8" s="282"/>
      <c r="D8" s="265"/>
      <c r="E8" s="265"/>
      <c r="F8" s="1046" t="s">
        <v>0</v>
      </c>
      <c r="G8" s="1046"/>
      <c r="H8" s="1020"/>
      <c r="I8" s="1020"/>
      <c r="K8" s="265"/>
      <c r="L8" s="270"/>
      <c r="M8" s="273"/>
      <c r="N8" s="265"/>
    </row>
    <row r="9" spans="1:15" ht="14.25">
      <c r="B9" s="282"/>
      <c r="C9" s="282"/>
      <c r="D9" s="265"/>
      <c r="E9" s="265"/>
      <c r="F9" s="265"/>
      <c r="G9" s="270" t="s">
        <v>261</v>
      </c>
      <c r="H9" s="630" t="s">
        <v>262</v>
      </c>
      <c r="I9" s="272"/>
      <c r="J9" s="270"/>
      <c r="K9" s="277"/>
      <c r="L9" s="270"/>
      <c r="M9" s="265"/>
      <c r="N9" s="265"/>
    </row>
    <row r="10" spans="1:15" ht="14.25">
      <c r="B10" s="282"/>
      <c r="C10" s="282"/>
      <c r="D10" s="265"/>
      <c r="E10" s="265"/>
      <c r="F10" s="265"/>
      <c r="G10" s="270" t="s">
        <v>263</v>
      </c>
      <c r="H10" s="630" t="s">
        <v>264</v>
      </c>
      <c r="I10" s="272"/>
      <c r="J10" s="270"/>
      <c r="K10" s="277"/>
      <c r="L10" s="270"/>
      <c r="M10" s="265"/>
      <c r="N10" s="265"/>
    </row>
    <row r="11" spans="1:15">
      <c r="B11" s="282"/>
      <c r="C11" s="282"/>
      <c r="D11" s="265"/>
      <c r="E11" s="265"/>
      <c r="F11" s="265"/>
      <c r="G11" s="270" t="s">
        <v>265</v>
      </c>
      <c r="H11" s="630" t="s">
        <v>266</v>
      </c>
      <c r="J11" s="270"/>
    </row>
    <row r="12" spans="1:15" ht="14.25">
      <c r="B12" s="282"/>
      <c r="C12" s="282"/>
      <c r="D12" s="265"/>
      <c r="E12" s="265"/>
      <c r="F12" s="265"/>
      <c r="G12" s="270" t="s">
        <v>7</v>
      </c>
      <c r="H12" s="265" t="s">
        <v>371</v>
      </c>
      <c r="I12" s="272"/>
      <c r="J12" s="270"/>
      <c r="K12" s="272"/>
      <c r="L12" s="272"/>
    </row>
    <row r="13" spans="1:15" ht="14.25">
      <c r="B13" s="282"/>
      <c r="C13" s="282"/>
      <c r="D13" s="265"/>
      <c r="E13" s="265"/>
      <c r="F13" s="265"/>
      <c r="G13" s="270" t="s">
        <v>8</v>
      </c>
      <c r="H13" s="265" t="s">
        <v>372</v>
      </c>
      <c r="I13" s="272"/>
      <c r="J13" s="270"/>
      <c r="K13" s="272"/>
      <c r="L13" s="272"/>
    </row>
    <row r="14" spans="1:15" ht="14.25">
      <c r="B14" s="282"/>
      <c r="C14" s="282"/>
      <c r="D14" s="265"/>
      <c r="E14" s="265"/>
      <c r="F14" s="265"/>
      <c r="G14" s="270" t="s">
        <v>10</v>
      </c>
      <c r="H14" s="265" t="s">
        <v>269</v>
      </c>
      <c r="I14" s="272"/>
      <c r="J14" s="270"/>
      <c r="K14" s="272"/>
      <c r="L14" s="272"/>
    </row>
    <row r="15" spans="1:15" ht="14.25">
      <c r="B15" s="282"/>
      <c r="C15" s="282"/>
      <c r="D15" s="265"/>
      <c r="E15" s="265"/>
      <c r="F15" s="265"/>
      <c r="G15" s="270" t="s">
        <v>185</v>
      </c>
      <c r="H15" s="265" t="s">
        <v>373</v>
      </c>
      <c r="I15" s="272"/>
      <c r="J15" s="270"/>
      <c r="K15" s="272"/>
      <c r="L15" s="272"/>
    </row>
    <row r="16" spans="1:15" ht="14.25">
      <c r="B16" s="282"/>
      <c r="C16" s="282"/>
      <c r="D16" s="265"/>
      <c r="E16" s="265"/>
      <c r="F16" s="265"/>
      <c r="G16" s="270"/>
      <c r="H16" s="265" t="s">
        <v>374</v>
      </c>
      <c r="I16" s="272"/>
      <c r="J16" s="270"/>
      <c r="K16" s="272"/>
      <c r="L16" s="272"/>
    </row>
    <row r="17" spans="1:15" ht="14.25">
      <c r="B17" s="282"/>
      <c r="C17" s="282"/>
      <c r="D17" s="265"/>
      <c r="E17" s="265"/>
      <c r="F17" s="265"/>
      <c r="G17" s="270" t="s">
        <v>14</v>
      </c>
      <c r="H17" s="265" t="s">
        <v>272</v>
      </c>
      <c r="I17" s="275"/>
      <c r="J17" s="270"/>
      <c r="K17" s="275"/>
      <c r="L17" s="275"/>
    </row>
    <row r="18" spans="1:15" ht="14.25">
      <c r="B18" s="282"/>
      <c r="C18" s="282"/>
      <c r="D18" s="265"/>
      <c r="E18" s="265"/>
      <c r="F18" s="265"/>
      <c r="G18" s="270" t="s">
        <v>18</v>
      </c>
      <c r="H18" s="265" t="s">
        <v>273</v>
      </c>
      <c r="I18" s="275"/>
      <c r="J18" s="270"/>
      <c r="K18" s="275"/>
      <c r="L18" s="275"/>
    </row>
    <row r="19" spans="1:15" ht="14.25">
      <c r="B19" s="282"/>
      <c r="C19" s="282"/>
      <c r="D19" s="265"/>
      <c r="E19" s="265"/>
      <c r="F19" s="265"/>
      <c r="G19" s="270" t="s">
        <v>274</v>
      </c>
      <c r="H19" s="630" t="s">
        <v>275</v>
      </c>
      <c r="I19" s="275"/>
      <c r="J19" s="270"/>
      <c r="K19" s="275"/>
      <c r="L19" s="275"/>
    </row>
    <row r="20" spans="1:15" ht="14.25">
      <c r="B20" s="282"/>
      <c r="C20" s="282"/>
      <c r="D20" s="265"/>
      <c r="E20" s="265"/>
      <c r="F20" s="265"/>
      <c r="G20" s="270" t="s">
        <v>276</v>
      </c>
      <c r="H20" s="630" t="s">
        <v>277</v>
      </c>
      <c r="I20" s="275"/>
      <c r="J20" s="270"/>
      <c r="K20" s="275"/>
      <c r="L20" s="275"/>
    </row>
    <row r="21" spans="1:15" ht="14.25">
      <c r="B21" s="282"/>
      <c r="C21" s="282"/>
      <c r="D21" s="265"/>
      <c r="E21" s="265"/>
      <c r="F21" s="265"/>
      <c r="G21" s="270" t="s">
        <v>26</v>
      </c>
      <c r="H21" s="630" t="s">
        <v>278</v>
      </c>
      <c r="I21" s="275"/>
      <c r="J21" s="270"/>
      <c r="K21" s="275"/>
      <c r="L21" s="275"/>
    </row>
    <row r="22" spans="1:15" ht="13.5" customHeight="1">
      <c r="B22" s="282"/>
      <c r="C22" s="282"/>
      <c r="D22" s="265"/>
      <c r="E22" s="265"/>
      <c r="F22" s="265"/>
      <c r="G22" s="270" t="s">
        <v>28</v>
      </c>
      <c r="H22" s="278" t="s">
        <v>279</v>
      </c>
      <c r="I22" s="275"/>
      <c r="J22" s="275"/>
      <c r="K22" s="275"/>
      <c r="L22" s="275"/>
    </row>
    <row r="23" spans="1:15" s="265" customFormat="1" ht="15" thickBot="1">
      <c r="A23" s="1111" t="s">
        <v>30</v>
      </c>
      <c r="B23" s="1033"/>
      <c r="C23" s="1033"/>
      <c r="D23" s="1033"/>
      <c r="E23" s="1033"/>
      <c r="F23" s="1033"/>
      <c r="G23" s="1033"/>
      <c r="H23" s="1033"/>
      <c r="I23" s="1033"/>
      <c r="J23" s="1033"/>
      <c r="K23" s="1033"/>
      <c r="L23" s="1033"/>
      <c r="M23" s="1033"/>
      <c r="N23" s="1033"/>
      <c r="O23" s="1033"/>
    </row>
    <row r="24" spans="1:15" s="265" customFormat="1" ht="14.25">
      <c r="A24" s="1105" t="s">
        <v>375</v>
      </c>
      <c r="B24" s="1106"/>
      <c r="C24" s="1106"/>
      <c r="D24" s="1107"/>
      <c r="E24" s="1108" t="s">
        <v>376</v>
      </c>
      <c r="F24" s="1010"/>
      <c r="G24" s="1010"/>
      <c r="H24" s="1010"/>
      <c r="I24" s="1010"/>
      <c r="J24" s="1010"/>
      <c r="K24" s="1109"/>
      <c r="L24" s="1105" t="s">
        <v>377</v>
      </c>
      <c r="M24" s="1010"/>
      <c r="N24" s="1010"/>
      <c r="O24" s="1109"/>
    </row>
    <row r="25" spans="1:15" s="265" customFormat="1" ht="12.75" customHeight="1">
      <c r="A25" s="1028" t="s">
        <v>33</v>
      </c>
      <c r="B25" s="1029"/>
      <c r="C25" s="1029"/>
      <c r="D25" s="279" t="s">
        <v>34</v>
      </c>
      <c r="E25" s="1028" t="s">
        <v>33</v>
      </c>
      <c r="F25" s="1020"/>
      <c r="G25" s="1020"/>
      <c r="H25" s="1020"/>
      <c r="I25" s="1093" t="s">
        <v>35</v>
      </c>
      <c r="J25" s="1115"/>
      <c r="K25" s="1094"/>
      <c r="L25" s="1028" t="s">
        <v>33</v>
      </c>
      <c r="M25" s="1020"/>
      <c r="N25" s="1095" t="s">
        <v>35</v>
      </c>
      <c r="O25" s="1096"/>
    </row>
    <row r="26" spans="1:15" s="265" customFormat="1" ht="12.75" customHeight="1">
      <c r="A26" s="1028" t="s">
        <v>199</v>
      </c>
      <c r="B26" s="1029"/>
      <c r="C26" s="1029"/>
      <c r="D26" s="280">
        <v>0</v>
      </c>
      <c r="E26" s="1028" t="s">
        <v>199</v>
      </c>
      <c r="F26" s="1020"/>
      <c r="G26" s="1020"/>
      <c r="H26" s="1020"/>
      <c r="I26" s="1102">
        <v>600</v>
      </c>
      <c r="J26" s="1115"/>
      <c r="K26" s="1094"/>
      <c r="L26" s="1028" t="s">
        <v>199</v>
      </c>
      <c r="M26" s="1020"/>
      <c r="N26" s="1103">
        <v>900</v>
      </c>
      <c r="O26" s="1104"/>
    </row>
    <row r="27" spans="1:15" s="265" customFormat="1" ht="12.75" customHeight="1">
      <c r="A27" s="1028" t="s">
        <v>37</v>
      </c>
      <c r="B27" s="1029"/>
      <c r="C27" s="1029"/>
      <c r="D27" s="279" t="s">
        <v>38</v>
      </c>
      <c r="E27" s="1028" t="s">
        <v>37</v>
      </c>
      <c r="F27" s="1020"/>
      <c r="G27" s="1020"/>
      <c r="H27" s="1020"/>
      <c r="I27" s="1093" t="s">
        <v>349</v>
      </c>
      <c r="J27" s="1115"/>
      <c r="K27" s="1094"/>
      <c r="L27" s="1028" t="s">
        <v>37</v>
      </c>
      <c r="M27" s="1020"/>
      <c r="N27" s="1095" t="s">
        <v>350</v>
      </c>
      <c r="O27" s="1096"/>
    </row>
    <row r="28" spans="1:15" s="265" customFormat="1" ht="12.75" customHeight="1">
      <c r="A28" s="1028" t="s">
        <v>202</v>
      </c>
      <c r="B28" s="1029"/>
      <c r="C28" s="1029"/>
      <c r="D28" s="279" t="s">
        <v>378</v>
      </c>
      <c r="E28" s="1028" t="s">
        <v>204</v>
      </c>
      <c r="F28" s="1020"/>
      <c r="G28" s="1020"/>
      <c r="H28" s="1020"/>
      <c r="I28" s="1093" t="s">
        <v>284</v>
      </c>
      <c r="J28" s="1115"/>
      <c r="K28" s="1094"/>
      <c r="L28" s="1028" t="s">
        <v>40</v>
      </c>
      <c r="M28" s="1020"/>
      <c r="N28" s="1095" t="s">
        <v>379</v>
      </c>
      <c r="O28" s="1096"/>
    </row>
    <row r="29" spans="1:15" s="265" customFormat="1" ht="12.75" customHeight="1" thickBot="1">
      <c r="A29" s="1031" t="s">
        <v>285</v>
      </c>
      <c r="B29" s="1032"/>
      <c r="C29" s="1032"/>
      <c r="D29" s="281" t="s">
        <v>286</v>
      </c>
      <c r="E29" s="1031" t="s">
        <v>285</v>
      </c>
      <c r="F29" s="1032"/>
      <c r="G29" s="1033"/>
      <c r="H29" s="1033"/>
      <c r="I29" s="1097" t="s">
        <v>287</v>
      </c>
      <c r="J29" s="1097"/>
      <c r="K29" s="1116"/>
      <c r="L29" s="1031" t="s">
        <v>285</v>
      </c>
      <c r="M29" s="1033"/>
      <c r="N29" s="1033" t="s">
        <v>287</v>
      </c>
      <c r="O29" s="1034"/>
    </row>
    <row r="30" spans="1:15" s="265" customFormat="1" ht="12.75" customHeight="1">
      <c r="D30" s="277"/>
      <c r="E30" s="277"/>
      <c r="F30" s="1019"/>
      <c r="G30" s="1020"/>
      <c r="H30" s="1020"/>
      <c r="I30" s="1020"/>
      <c r="J30" s="1020"/>
      <c r="K30" s="558"/>
      <c r="L30" s="558"/>
      <c r="M30" s="270"/>
    </row>
    <row r="31" spans="1:15" ht="15" thickBot="1">
      <c r="B31" s="282"/>
      <c r="C31" s="282"/>
      <c r="D31" s="265"/>
      <c r="E31" s="265"/>
      <c r="F31" s="446"/>
      <c r="G31" s="446"/>
      <c r="H31" s="270"/>
      <c r="I31" s="265"/>
      <c r="J31" s="265"/>
      <c r="K31" s="275"/>
      <c r="L31" s="265"/>
    </row>
    <row r="32" spans="1:15" ht="13.5" thickBot="1">
      <c r="B32" s="282"/>
      <c r="C32" s="282"/>
      <c r="D32" s="265"/>
      <c r="E32" s="265"/>
      <c r="F32" s="1063" t="s">
        <v>43</v>
      </c>
      <c r="G32" s="1022"/>
      <c r="H32" s="1023" t="s">
        <v>44</v>
      </c>
      <c r="I32" s="1024"/>
      <c r="J32" s="1101"/>
      <c r="K32" s="1003"/>
      <c r="L32" s="1003"/>
      <c r="M32" s="1003"/>
      <c r="N32" s="1003"/>
      <c r="O32" s="1025"/>
    </row>
    <row r="33" spans="1:16" ht="58.5" customHeight="1" thickBot="1">
      <c r="A33" s="289" t="s">
        <v>45</v>
      </c>
      <c r="B33" s="289" t="s">
        <v>46</v>
      </c>
      <c r="C33" s="290" t="s">
        <v>47</v>
      </c>
      <c r="D33" s="290" t="s">
        <v>48</v>
      </c>
      <c r="E33" s="290" t="s">
        <v>49</v>
      </c>
      <c r="F33" s="290" t="s">
        <v>50</v>
      </c>
      <c r="G33" s="289" t="s">
        <v>51</v>
      </c>
      <c r="H33" s="290" t="s">
        <v>52</v>
      </c>
      <c r="I33" s="289" t="s">
        <v>51</v>
      </c>
      <c r="J33" s="628" t="s">
        <v>53</v>
      </c>
      <c r="K33" s="289" t="s">
        <v>51</v>
      </c>
      <c r="L33" s="290" t="s">
        <v>54</v>
      </c>
      <c r="M33" s="289" t="s">
        <v>51</v>
      </c>
      <c r="N33" s="290" t="s">
        <v>55</v>
      </c>
      <c r="O33" s="289" t="s">
        <v>51</v>
      </c>
    </row>
    <row r="34" spans="1:16" s="266" customFormat="1" ht="13.5" thickBot="1">
      <c r="A34" s="1014">
        <v>13</v>
      </c>
      <c r="B34" s="1118"/>
      <c r="C34" s="619" t="s">
        <v>380</v>
      </c>
      <c r="D34" s="618" t="s">
        <v>381</v>
      </c>
      <c r="E34" s="617">
        <v>21468.48</v>
      </c>
      <c r="F34" s="663">
        <f>SUM(E34:E36)*(1-74%)</f>
        <v>5674.6248000000005</v>
      </c>
      <c r="G34" s="1026">
        <f>F34*B34</f>
        <v>0</v>
      </c>
      <c r="H34" s="664">
        <f>F34*0.0845</f>
        <v>479.50579560000006</v>
      </c>
      <c r="I34" s="1026">
        <f>H34*B34</f>
        <v>0</v>
      </c>
      <c r="J34" s="665">
        <f>F34*0.032</f>
        <v>181.58799360000003</v>
      </c>
      <c r="K34" s="1180">
        <f>J34*B34</f>
        <v>0</v>
      </c>
      <c r="L34" s="295">
        <f>F34*0.0263</f>
        <v>149.24263224000001</v>
      </c>
      <c r="M34" s="1026">
        <f>L34*B34</f>
        <v>0</v>
      </c>
      <c r="N34" s="295">
        <f>F34*0.0219</f>
        <v>124.27428312000001</v>
      </c>
      <c r="O34" s="1026">
        <f>N34*B34</f>
        <v>0</v>
      </c>
    </row>
    <row r="35" spans="1:16" ht="15" thickBot="1">
      <c r="A35" s="1015"/>
      <c r="B35" s="1119"/>
      <c r="C35" s="614" t="s">
        <v>307</v>
      </c>
      <c r="D35" s="613" t="s">
        <v>240</v>
      </c>
      <c r="E35" s="612">
        <v>282</v>
      </c>
      <c r="F35" s="300" t="s">
        <v>35</v>
      </c>
      <c r="G35" s="1177"/>
      <c r="H35" s="300" t="s">
        <v>35</v>
      </c>
      <c r="I35" s="1177"/>
      <c r="J35" s="627" t="s">
        <v>35</v>
      </c>
      <c r="K35" s="1181"/>
      <c r="L35" s="301" t="s">
        <v>35</v>
      </c>
      <c r="M35" s="1119"/>
      <c r="N35" s="301" t="s">
        <v>35</v>
      </c>
      <c r="O35" s="1119"/>
    </row>
    <row r="36" spans="1:16" ht="13.5" thickBot="1">
      <c r="A36" s="1016"/>
      <c r="B36" s="1017"/>
      <c r="C36" s="544" t="s">
        <v>56</v>
      </c>
      <c r="D36" s="575" t="s">
        <v>57</v>
      </c>
      <c r="E36" s="610">
        <v>75</v>
      </c>
      <c r="F36" s="300" t="s">
        <v>35</v>
      </c>
      <c r="G36" s="1178"/>
      <c r="H36" s="300" t="s">
        <v>35</v>
      </c>
      <c r="I36" s="1178"/>
      <c r="J36" s="627" t="s">
        <v>35</v>
      </c>
      <c r="K36" s="1181"/>
      <c r="L36" s="301" t="s">
        <v>35</v>
      </c>
      <c r="M36" s="1119"/>
      <c r="N36" s="301" t="s">
        <v>35</v>
      </c>
      <c r="O36" s="1172"/>
    </row>
    <row r="37" spans="1:16" ht="13.5" thickBot="1">
      <c r="A37" s="626"/>
      <c r="B37" s="308"/>
      <c r="C37" s="309"/>
      <c r="D37" s="537"/>
      <c r="E37" s="625"/>
      <c r="F37" s="312"/>
      <c r="G37" s="635"/>
      <c r="H37" s="312"/>
      <c r="I37" s="635"/>
      <c r="J37" s="312"/>
      <c r="K37" s="636"/>
      <c r="L37" s="637"/>
      <c r="M37" s="638"/>
      <c r="N37" s="638"/>
      <c r="O37" s="639"/>
    </row>
    <row r="38" spans="1:16" s="266" customFormat="1" ht="13.5" thickBot="1">
      <c r="A38" s="1014" t="s">
        <v>382</v>
      </c>
      <c r="B38" s="1118"/>
      <c r="C38" s="619" t="s">
        <v>380</v>
      </c>
      <c r="D38" s="618" t="s">
        <v>381</v>
      </c>
      <c r="E38" s="617">
        <v>21468.48</v>
      </c>
      <c r="F38" s="663">
        <f>SUM(E38:E40)*(1-74%)</f>
        <v>5674.6248000000005</v>
      </c>
      <c r="G38" s="1026">
        <f>F38*B38</f>
        <v>0</v>
      </c>
      <c r="H38" s="664">
        <f>F38*0.0845+I26/12</f>
        <v>529.50579560000006</v>
      </c>
      <c r="I38" s="1026">
        <f>H38*B38</f>
        <v>0</v>
      </c>
      <c r="J38" s="665">
        <f>F38*0.032+I26/12</f>
        <v>231.58799360000003</v>
      </c>
      <c r="K38" s="1180">
        <f>J38*B38</f>
        <v>0</v>
      </c>
      <c r="L38" s="295">
        <f>F38*0.0263+I26/12</f>
        <v>199.24263224000001</v>
      </c>
      <c r="M38" s="1026">
        <f>L38*B38</f>
        <v>0</v>
      </c>
      <c r="N38" s="295">
        <f>F38*0.0219+I26/12</f>
        <v>174.27428312000001</v>
      </c>
      <c r="O38" s="1026">
        <f>N38*B38</f>
        <v>0</v>
      </c>
    </row>
    <row r="39" spans="1:16" ht="15" thickBot="1">
      <c r="A39" s="1015"/>
      <c r="B39" s="1119"/>
      <c r="C39" s="614" t="s">
        <v>307</v>
      </c>
      <c r="D39" s="613" t="s">
        <v>240</v>
      </c>
      <c r="E39" s="612">
        <v>282</v>
      </c>
      <c r="F39" s="300" t="s">
        <v>35</v>
      </c>
      <c r="G39" s="1121"/>
      <c r="H39" s="31" t="s">
        <v>35</v>
      </c>
      <c r="I39" s="1121"/>
      <c r="J39" s="611" t="s">
        <v>35</v>
      </c>
      <c r="K39" s="1124"/>
      <c r="L39" s="32" t="s">
        <v>35</v>
      </c>
      <c r="M39" s="1084"/>
      <c r="N39" s="32" t="s">
        <v>35</v>
      </c>
      <c r="O39" s="1084"/>
    </row>
    <row r="40" spans="1:16" ht="13.5" thickBot="1">
      <c r="A40" s="1016"/>
      <c r="B40" s="1017"/>
      <c r="C40" s="544" t="s">
        <v>56</v>
      </c>
      <c r="D40" s="575" t="s">
        <v>57</v>
      </c>
      <c r="E40" s="610">
        <v>75</v>
      </c>
      <c r="F40" s="300" t="s">
        <v>35</v>
      </c>
      <c r="G40" s="1178"/>
      <c r="H40" s="300" t="s">
        <v>35</v>
      </c>
      <c r="I40" s="1178"/>
      <c r="J40" s="627" t="s">
        <v>35</v>
      </c>
      <c r="K40" s="1181"/>
      <c r="L40" s="301" t="s">
        <v>35</v>
      </c>
      <c r="M40" s="1119"/>
      <c r="N40" s="301" t="s">
        <v>35</v>
      </c>
      <c r="O40" s="1172"/>
    </row>
    <row r="41" spans="1:16" ht="13.5" thickBot="1">
      <c r="A41" s="626"/>
      <c r="B41" s="308"/>
      <c r="C41" s="309"/>
      <c r="D41" s="537"/>
      <c r="E41" s="625"/>
      <c r="F41" s="33"/>
      <c r="G41" s="624"/>
      <c r="H41" s="33"/>
      <c r="I41" s="624"/>
      <c r="J41" s="33"/>
      <c r="K41" s="623"/>
      <c r="L41" s="622"/>
      <c r="M41" s="621"/>
      <c r="N41" s="621"/>
      <c r="O41" s="620"/>
    </row>
    <row r="42" spans="1:16" s="266" customFormat="1" ht="13.5" thickBot="1">
      <c r="A42" s="1014" t="s">
        <v>383</v>
      </c>
      <c r="B42" s="1118"/>
      <c r="C42" s="619" t="s">
        <v>380</v>
      </c>
      <c r="D42" s="618" t="s">
        <v>381</v>
      </c>
      <c r="E42" s="617">
        <v>21468.48</v>
      </c>
      <c r="F42" s="663">
        <f>SUM(E42:E44)*(1-74%)</f>
        <v>5674.6248000000005</v>
      </c>
      <c r="G42" s="1011">
        <f>F42*B42</f>
        <v>0</v>
      </c>
      <c r="H42" s="616">
        <f>F42*0.0845+N26/12</f>
        <v>554.50579560000006</v>
      </c>
      <c r="I42" s="1011">
        <f>H42*B42</f>
        <v>0</v>
      </c>
      <c r="J42" s="615">
        <f>F42*0.032+N26/12</f>
        <v>256.5879936</v>
      </c>
      <c r="K42" s="1123">
        <f>J42*B42</f>
        <v>0</v>
      </c>
      <c r="L42" s="30">
        <f>F42*0.0263+N26/12</f>
        <v>224.24263224000001</v>
      </c>
      <c r="M42" s="1011">
        <f>L42*B42</f>
        <v>0</v>
      </c>
      <c r="N42" s="30">
        <f>F42*0.0219+N26/12</f>
        <v>199.27428312000001</v>
      </c>
      <c r="O42" s="1011">
        <f>N42*B42</f>
        <v>0</v>
      </c>
    </row>
    <row r="43" spans="1:16" ht="15" thickBot="1">
      <c r="A43" s="1015"/>
      <c r="B43" s="1119"/>
      <c r="C43" s="614" t="s">
        <v>307</v>
      </c>
      <c r="D43" s="613" t="s">
        <v>240</v>
      </c>
      <c r="E43" s="612">
        <v>282</v>
      </c>
      <c r="F43" s="31" t="s">
        <v>35</v>
      </c>
      <c r="G43" s="1121"/>
      <c r="H43" s="31" t="s">
        <v>35</v>
      </c>
      <c r="I43" s="1121"/>
      <c r="J43" s="611" t="s">
        <v>35</v>
      </c>
      <c r="K43" s="1124"/>
      <c r="L43" s="32" t="s">
        <v>35</v>
      </c>
      <c r="M43" s="1084"/>
      <c r="N43" s="32" t="s">
        <v>35</v>
      </c>
      <c r="O43" s="1084"/>
    </row>
    <row r="44" spans="1:16" ht="13.5" thickBot="1">
      <c r="A44" s="1015"/>
      <c r="B44" s="1119"/>
      <c r="C44" s="544" t="s">
        <v>56</v>
      </c>
      <c r="D44" s="575" t="s">
        <v>57</v>
      </c>
      <c r="E44" s="610">
        <v>75</v>
      </c>
      <c r="F44" s="31" t="s">
        <v>35</v>
      </c>
      <c r="G44" s="1121"/>
      <c r="H44" s="37" t="s">
        <v>35</v>
      </c>
      <c r="I44" s="1121"/>
      <c r="J44" s="609" t="s">
        <v>35</v>
      </c>
      <c r="K44" s="1128"/>
      <c r="L44" s="608" t="s">
        <v>35</v>
      </c>
      <c r="M44" s="1084"/>
      <c r="N44" s="608" t="s">
        <v>35</v>
      </c>
      <c r="O44" s="1120"/>
    </row>
    <row r="45" spans="1:16" ht="13.5" customHeight="1" thickBot="1">
      <c r="A45" s="1129" t="s">
        <v>59</v>
      </c>
      <c r="B45" s="1003"/>
      <c r="C45" s="1003"/>
      <c r="D45" s="1003"/>
      <c r="E45" s="1003"/>
      <c r="F45" s="1004"/>
      <c r="G45" s="1004"/>
      <c r="H45" s="1004"/>
      <c r="I45" s="1004"/>
      <c r="J45" s="1004"/>
      <c r="K45" s="1004"/>
      <c r="L45" s="1004"/>
      <c r="M45" s="1004"/>
      <c r="N45" s="1004"/>
      <c r="O45" s="1005"/>
    </row>
    <row r="46" spans="1:16" ht="13.5" thickBot="1">
      <c r="A46" s="1163"/>
      <c r="B46" s="316"/>
      <c r="C46" s="604" t="s">
        <v>103</v>
      </c>
      <c r="D46" s="517" t="s">
        <v>104</v>
      </c>
      <c r="E46" s="491">
        <v>129.99</v>
      </c>
      <c r="F46" s="38">
        <f t="shared" ref="F46:F97" si="0">E46*(1-40%)</f>
        <v>77.994</v>
      </c>
      <c r="G46" s="40">
        <f t="shared" ref="G46:G97" si="1">F46*B46</f>
        <v>0</v>
      </c>
      <c r="H46" s="39">
        <f t="shared" ref="H46:H73" si="2">F46*0.0845</f>
        <v>6.5904930000000004</v>
      </c>
      <c r="I46" s="40">
        <f t="shared" ref="I46:I97" si="3">H46*B46</f>
        <v>0</v>
      </c>
      <c r="J46" s="600">
        <f t="shared" ref="J46:J73" si="4">F46*0.032</f>
        <v>2.4958080000000002</v>
      </c>
      <c r="K46" s="40">
        <f t="shared" ref="K46:K97" si="5">J46*B46</f>
        <v>0</v>
      </c>
      <c r="L46" s="39">
        <f t="shared" ref="L46:L73" si="6">F46*0.0263</f>
        <v>2.0512421999999999</v>
      </c>
      <c r="M46" s="40">
        <f t="shared" ref="M46:M97" si="7">L46*B46</f>
        <v>0</v>
      </c>
      <c r="N46" s="600">
        <f t="shared" ref="N46:N73" si="8">F46*0.0219</f>
        <v>1.7080686</v>
      </c>
      <c r="O46" s="40">
        <f t="shared" ref="O46:O97" si="9">N46*B46</f>
        <v>0</v>
      </c>
      <c r="P46" s="596"/>
    </row>
    <row r="47" spans="1:16" ht="26.25" thickBot="1">
      <c r="A47" s="1164"/>
      <c r="B47" s="319"/>
      <c r="C47" s="588" t="s">
        <v>105</v>
      </c>
      <c r="D47" s="605" t="s">
        <v>325</v>
      </c>
      <c r="E47" s="491">
        <v>399</v>
      </c>
      <c r="F47" s="38">
        <f t="shared" si="0"/>
        <v>239.39999999999998</v>
      </c>
      <c r="G47" s="41">
        <f t="shared" si="1"/>
        <v>0</v>
      </c>
      <c r="H47" s="39">
        <f t="shared" si="2"/>
        <v>20.229299999999999</v>
      </c>
      <c r="I47" s="40">
        <f t="shared" si="3"/>
        <v>0</v>
      </c>
      <c r="J47" s="600">
        <f t="shared" si="4"/>
        <v>7.6607999999999992</v>
      </c>
      <c r="K47" s="40">
        <f t="shared" si="5"/>
        <v>0</v>
      </c>
      <c r="L47" s="39">
        <f t="shared" si="6"/>
        <v>6.2962199999999999</v>
      </c>
      <c r="M47" s="40">
        <f t="shared" si="7"/>
        <v>0</v>
      </c>
      <c r="N47" s="600">
        <f t="shared" si="8"/>
        <v>5.2428599999999994</v>
      </c>
      <c r="O47" s="40">
        <f t="shared" si="9"/>
        <v>0</v>
      </c>
      <c r="P47" s="596"/>
    </row>
    <row r="48" spans="1:16" ht="13.5" thickBot="1">
      <c r="A48" s="1164"/>
      <c r="B48" s="319"/>
      <c r="C48" s="604" t="s">
        <v>107</v>
      </c>
      <c r="D48" s="605" t="s">
        <v>108</v>
      </c>
      <c r="E48" s="491">
        <v>250</v>
      </c>
      <c r="F48" s="38">
        <f t="shared" si="0"/>
        <v>150</v>
      </c>
      <c r="G48" s="41">
        <f t="shared" si="1"/>
        <v>0</v>
      </c>
      <c r="H48" s="39">
        <f t="shared" si="2"/>
        <v>12.675000000000001</v>
      </c>
      <c r="I48" s="40">
        <f t="shared" si="3"/>
        <v>0</v>
      </c>
      <c r="J48" s="600">
        <f t="shared" si="4"/>
        <v>4.8</v>
      </c>
      <c r="K48" s="40">
        <f t="shared" si="5"/>
        <v>0</v>
      </c>
      <c r="L48" s="39">
        <f t="shared" si="6"/>
        <v>3.9450000000000003</v>
      </c>
      <c r="M48" s="40">
        <f t="shared" si="7"/>
        <v>0</v>
      </c>
      <c r="N48" s="600">
        <f t="shared" si="8"/>
        <v>3.2849999999999997</v>
      </c>
      <c r="O48" s="40">
        <f t="shared" si="9"/>
        <v>0</v>
      </c>
      <c r="P48" s="596"/>
    </row>
    <row r="49" spans="1:16" ht="13.5" thickBot="1">
      <c r="A49" s="1164"/>
      <c r="B49" s="319"/>
      <c r="C49" s="297" t="s">
        <v>109</v>
      </c>
      <c r="D49" s="605" t="s">
        <v>110</v>
      </c>
      <c r="E49" s="491">
        <v>400</v>
      </c>
      <c r="F49" s="320">
        <f t="shared" si="0"/>
        <v>240</v>
      </c>
      <c r="G49" s="41">
        <f t="shared" si="1"/>
        <v>0</v>
      </c>
      <c r="H49" s="321">
        <f t="shared" si="2"/>
        <v>20.28</v>
      </c>
      <c r="I49" s="40">
        <f t="shared" si="3"/>
        <v>0</v>
      </c>
      <c r="J49" s="344">
        <f t="shared" si="4"/>
        <v>7.68</v>
      </c>
      <c r="K49" s="40">
        <f t="shared" si="5"/>
        <v>0</v>
      </c>
      <c r="L49" s="321">
        <f t="shared" si="6"/>
        <v>6.3120000000000003</v>
      </c>
      <c r="M49" s="40">
        <f t="shared" si="7"/>
        <v>0</v>
      </c>
      <c r="N49" s="344">
        <f t="shared" si="8"/>
        <v>5.2560000000000002</v>
      </c>
      <c r="O49" s="40">
        <f t="shared" si="9"/>
        <v>0</v>
      </c>
      <c r="P49" s="596"/>
    </row>
    <row r="50" spans="1:16" ht="13.5" thickBot="1">
      <c r="A50" s="1164"/>
      <c r="B50" s="319"/>
      <c r="C50" s="297" t="s">
        <v>111</v>
      </c>
      <c r="D50" s="605" t="s">
        <v>112</v>
      </c>
      <c r="E50" s="491">
        <v>499</v>
      </c>
      <c r="F50" s="320">
        <f t="shared" si="0"/>
        <v>299.39999999999998</v>
      </c>
      <c r="G50" s="322">
        <f t="shared" si="1"/>
        <v>0</v>
      </c>
      <c r="H50" s="321">
        <f t="shared" si="2"/>
        <v>25.299299999999999</v>
      </c>
      <c r="I50" s="343">
        <f t="shared" si="3"/>
        <v>0</v>
      </c>
      <c r="J50" s="344">
        <f t="shared" si="4"/>
        <v>9.5808</v>
      </c>
      <c r="K50" s="343">
        <f t="shared" si="5"/>
        <v>0</v>
      </c>
      <c r="L50" s="321">
        <f t="shared" si="6"/>
        <v>7.8742199999999993</v>
      </c>
      <c r="M50" s="343">
        <f t="shared" si="7"/>
        <v>0</v>
      </c>
      <c r="N50" s="344">
        <f t="shared" si="8"/>
        <v>6.5568599999999995</v>
      </c>
      <c r="O50" s="343">
        <f t="shared" si="9"/>
        <v>0</v>
      </c>
      <c r="P50" s="596"/>
    </row>
    <row r="51" spans="1:16" ht="13.5" thickBot="1">
      <c r="A51" s="1164"/>
      <c r="B51" s="319"/>
      <c r="C51" s="297" t="s">
        <v>77</v>
      </c>
      <c r="D51" s="298" t="s">
        <v>78</v>
      </c>
      <c r="E51" s="491">
        <v>329</v>
      </c>
      <c r="F51" s="320">
        <f t="shared" si="0"/>
        <v>197.4</v>
      </c>
      <c r="G51" s="322">
        <f t="shared" si="1"/>
        <v>0</v>
      </c>
      <c r="H51" s="321">
        <f t="shared" si="2"/>
        <v>16.680300000000003</v>
      </c>
      <c r="I51" s="343">
        <f t="shared" si="3"/>
        <v>0</v>
      </c>
      <c r="J51" s="344">
        <f t="shared" si="4"/>
        <v>6.3168000000000006</v>
      </c>
      <c r="K51" s="343">
        <f t="shared" si="5"/>
        <v>0</v>
      </c>
      <c r="L51" s="321">
        <f t="shared" si="6"/>
        <v>5.1916200000000003</v>
      </c>
      <c r="M51" s="343">
        <f t="shared" si="7"/>
        <v>0</v>
      </c>
      <c r="N51" s="344">
        <f t="shared" si="8"/>
        <v>4.3230599999999999</v>
      </c>
      <c r="O51" s="343">
        <f t="shared" si="9"/>
        <v>0</v>
      </c>
      <c r="P51" s="596"/>
    </row>
    <row r="52" spans="1:16" ht="13.5" thickBot="1">
      <c r="A52" s="1164"/>
      <c r="B52" s="319"/>
      <c r="C52" s="297" t="s">
        <v>292</v>
      </c>
      <c r="D52" s="605" t="s">
        <v>427</v>
      </c>
      <c r="E52" s="491">
        <v>1044.75</v>
      </c>
      <c r="F52" s="320">
        <f>E52*(1-40%)</f>
        <v>626.85</v>
      </c>
      <c r="G52" s="41">
        <f>F52*B52</f>
        <v>0</v>
      </c>
      <c r="H52" s="321">
        <f t="shared" si="2"/>
        <v>52.968825000000002</v>
      </c>
      <c r="I52" s="40">
        <f>H52*B52</f>
        <v>0</v>
      </c>
      <c r="J52" s="344">
        <f t="shared" si="4"/>
        <v>20.059200000000001</v>
      </c>
      <c r="K52" s="40">
        <f>J52*B52</f>
        <v>0</v>
      </c>
      <c r="L52" s="321">
        <f t="shared" si="6"/>
        <v>16.486155</v>
      </c>
      <c r="M52" s="40">
        <f>L52*B52</f>
        <v>0</v>
      </c>
      <c r="N52" s="344">
        <f t="shared" si="8"/>
        <v>13.728014999999999</v>
      </c>
      <c r="O52" s="40">
        <f>N52*B52</f>
        <v>0</v>
      </c>
      <c r="P52" s="596"/>
    </row>
    <row r="53" spans="1:16" ht="13.5" thickBot="1">
      <c r="A53" s="1164"/>
      <c r="B53" s="319"/>
      <c r="C53" s="297" t="s">
        <v>293</v>
      </c>
      <c r="D53" s="298" t="s">
        <v>3927</v>
      </c>
      <c r="E53" s="491">
        <v>1044.75</v>
      </c>
      <c r="F53" s="320">
        <f>E53*(1-40%)</f>
        <v>626.85</v>
      </c>
      <c r="G53" s="322">
        <f>F53*B53</f>
        <v>0</v>
      </c>
      <c r="H53" s="321">
        <f t="shared" si="2"/>
        <v>52.968825000000002</v>
      </c>
      <c r="I53" s="343">
        <f>H53*B53</f>
        <v>0</v>
      </c>
      <c r="J53" s="344">
        <f t="shared" si="4"/>
        <v>20.059200000000001</v>
      </c>
      <c r="K53" s="343">
        <f>J53*B53</f>
        <v>0</v>
      </c>
      <c r="L53" s="321">
        <f t="shared" si="6"/>
        <v>16.486155</v>
      </c>
      <c r="M53" s="343">
        <f>L53*B53</f>
        <v>0</v>
      </c>
      <c r="N53" s="344">
        <f t="shared" si="8"/>
        <v>13.728014999999999</v>
      </c>
      <c r="O53" s="343">
        <f>N53*B53</f>
        <v>0</v>
      </c>
      <c r="P53" s="596"/>
    </row>
    <row r="54" spans="1:16" ht="13.5" thickBot="1">
      <c r="A54" s="1164"/>
      <c r="B54" s="319"/>
      <c r="C54" s="604" t="s">
        <v>294</v>
      </c>
      <c r="D54" s="298" t="s">
        <v>428</v>
      </c>
      <c r="E54" s="491">
        <v>5676.3</v>
      </c>
      <c r="F54" s="320">
        <f t="shared" si="0"/>
        <v>3405.78</v>
      </c>
      <c r="G54" s="322">
        <f t="shared" si="1"/>
        <v>0</v>
      </c>
      <c r="H54" s="321">
        <f t="shared" si="2"/>
        <v>287.78841000000006</v>
      </c>
      <c r="I54" s="343">
        <f t="shared" si="3"/>
        <v>0</v>
      </c>
      <c r="J54" s="344">
        <f t="shared" si="4"/>
        <v>108.98496000000002</v>
      </c>
      <c r="K54" s="343">
        <f t="shared" si="5"/>
        <v>0</v>
      </c>
      <c r="L54" s="321">
        <f t="shared" si="6"/>
        <v>89.57201400000001</v>
      </c>
      <c r="M54" s="343">
        <f t="shared" si="7"/>
        <v>0</v>
      </c>
      <c r="N54" s="344">
        <f t="shared" si="8"/>
        <v>74.586582000000007</v>
      </c>
      <c r="O54" s="343">
        <f t="shared" si="9"/>
        <v>0</v>
      </c>
      <c r="P54" s="596"/>
    </row>
    <row r="55" spans="1:16" ht="13.5" thickBot="1">
      <c r="A55" s="1164"/>
      <c r="B55" s="319"/>
      <c r="C55" s="604" t="s">
        <v>241</v>
      </c>
      <c r="D55" s="605" t="s">
        <v>3853</v>
      </c>
      <c r="E55" s="491">
        <v>235.4</v>
      </c>
      <c r="F55" s="320">
        <f t="shared" si="0"/>
        <v>141.24</v>
      </c>
      <c r="G55" s="322">
        <f t="shared" si="1"/>
        <v>0</v>
      </c>
      <c r="H55" s="321">
        <f t="shared" si="2"/>
        <v>11.934780000000002</v>
      </c>
      <c r="I55" s="343">
        <f t="shared" si="3"/>
        <v>0</v>
      </c>
      <c r="J55" s="344">
        <f t="shared" si="4"/>
        <v>4.5196800000000001</v>
      </c>
      <c r="K55" s="343">
        <f t="shared" si="5"/>
        <v>0</v>
      </c>
      <c r="L55" s="321">
        <f t="shared" si="6"/>
        <v>3.7146120000000002</v>
      </c>
      <c r="M55" s="343">
        <f t="shared" si="7"/>
        <v>0</v>
      </c>
      <c r="N55" s="344">
        <f t="shared" si="8"/>
        <v>3.093156</v>
      </c>
      <c r="O55" s="343">
        <f t="shared" si="9"/>
        <v>0</v>
      </c>
      <c r="P55" s="596"/>
    </row>
    <row r="56" spans="1:16" ht="13.5" thickBot="1">
      <c r="A56" s="1164"/>
      <c r="B56" s="325"/>
      <c r="C56" s="666" t="s">
        <v>242</v>
      </c>
      <c r="D56" s="667" t="s">
        <v>3854</v>
      </c>
      <c r="E56" s="491">
        <v>328.49</v>
      </c>
      <c r="F56" s="320">
        <f t="shared" si="0"/>
        <v>197.09399999999999</v>
      </c>
      <c r="G56" s="322">
        <f t="shared" si="1"/>
        <v>0</v>
      </c>
      <c r="H56" s="321">
        <f t="shared" si="2"/>
        <v>16.654443000000001</v>
      </c>
      <c r="I56" s="343">
        <f t="shared" si="3"/>
        <v>0</v>
      </c>
      <c r="J56" s="344">
        <f t="shared" si="4"/>
        <v>6.3070079999999997</v>
      </c>
      <c r="K56" s="343">
        <f t="shared" si="5"/>
        <v>0</v>
      </c>
      <c r="L56" s="321">
        <f t="shared" si="6"/>
        <v>5.1835721999999995</v>
      </c>
      <c r="M56" s="343">
        <f t="shared" si="7"/>
        <v>0</v>
      </c>
      <c r="N56" s="344">
        <f t="shared" si="8"/>
        <v>4.3163586</v>
      </c>
      <c r="O56" s="343">
        <f t="shared" si="9"/>
        <v>0</v>
      </c>
      <c r="P56" s="596"/>
    </row>
    <row r="57" spans="1:16" ht="13.5" thickBot="1">
      <c r="A57" s="1164"/>
      <c r="B57" s="316"/>
      <c r="C57" s="666" t="s">
        <v>117</v>
      </c>
      <c r="D57" s="667" t="s">
        <v>118</v>
      </c>
      <c r="E57" s="491">
        <v>999.38</v>
      </c>
      <c r="F57" s="320">
        <f t="shared" si="0"/>
        <v>599.62799999999993</v>
      </c>
      <c r="G57" s="322">
        <f t="shared" si="1"/>
        <v>0</v>
      </c>
      <c r="H57" s="321">
        <f t="shared" si="2"/>
        <v>50.668565999999998</v>
      </c>
      <c r="I57" s="343">
        <f t="shared" si="3"/>
        <v>0</v>
      </c>
      <c r="J57" s="344">
        <f t="shared" si="4"/>
        <v>19.188095999999998</v>
      </c>
      <c r="K57" s="343">
        <f t="shared" si="5"/>
        <v>0</v>
      </c>
      <c r="L57" s="321">
        <f t="shared" si="6"/>
        <v>15.770216399999999</v>
      </c>
      <c r="M57" s="343">
        <f t="shared" si="7"/>
        <v>0</v>
      </c>
      <c r="N57" s="344">
        <f t="shared" si="8"/>
        <v>13.131853199999998</v>
      </c>
      <c r="O57" s="343">
        <f t="shared" si="9"/>
        <v>0</v>
      </c>
      <c r="P57" s="596"/>
    </row>
    <row r="58" spans="1:16" ht="13.5" thickBot="1">
      <c r="A58" s="1164"/>
      <c r="B58" s="316"/>
      <c r="C58" s="666" t="s">
        <v>119</v>
      </c>
      <c r="D58" s="667" t="s">
        <v>120</v>
      </c>
      <c r="E58" s="491">
        <v>222.6</v>
      </c>
      <c r="F58" s="320">
        <f t="shared" si="0"/>
        <v>133.56</v>
      </c>
      <c r="G58" s="343">
        <f t="shared" si="1"/>
        <v>0</v>
      </c>
      <c r="H58" s="321">
        <f t="shared" si="2"/>
        <v>11.285820000000001</v>
      </c>
      <c r="I58" s="343">
        <f t="shared" si="3"/>
        <v>0</v>
      </c>
      <c r="J58" s="344">
        <f t="shared" si="4"/>
        <v>4.2739200000000004</v>
      </c>
      <c r="K58" s="343">
        <f t="shared" si="5"/>
        <v>0</v>
      </c>
      <c r="L58" s="321">
        <f t="shared" si="6"/>
        <v>3.5126280000000003</v>
      </c>
      <c r="M58" s="343">
        <f t="shared" si="7"/>
        <v>0</v>
      </c>
      <c r="N58" s="344">
        <f t="shared" si="8"/>
        <v>2.9249640000000001</v>
      </c>
      <c r="O58" s="343">
        <f t="shared" si="9"/>
        <v>0</v>
      </c>
      <c r="P58" s="596"/>
    </row>
    <row r="59" spans="1:16" ht="13.5" thickBot="1">
      <c r="A59" s="1164"/>
      <c r="B59" s="316"/>
      <c r="C59" s="297">
        <v>45111136</v>
      </c>
      <c r="D59" s="298" t="s">
        <v>3928</v>
      </c>
      <c r="E59" s="491">
        <v>1100</v>
      </c>
      <c r="F59" s="320">
        <f t="shared" si="0"/>
        <v>660</v>
      </c>
      <c r="G59" s="343">
        <f t="shared" si="1"/>
        <v>0</v>
      </c>
      <c r="H59" s="321">
        <f t="shared" si="2"/>
        <v>55.77</v>
      </c>
      <c r="I59" s="343">
        <f t="shared" si="3"/>
        <v>0</v>
      </c>
      <c r="J59" s="344">
        <f t="shared" si="4"/>
        <v>21.12</v>
      </c>
      <c r="K59" s="343">
        <f t="shared" si="5"/>
        <v>0</v>
      </c>
      <c r="L59" s="321">
        <f t="shared" si="6"/>
        <v>17.358000000000001</v>
      </c>
      <c r="M59" s="343">
        <f t="shared" si="7"/>
        <v>0</v>
      </c>
      <c r="N59" s="344">
        <f t="shared" si="8"/>
        <v>14.453999999999999</v>
      </c>
      <c r="O59" s="343">
        <f t="shared" si="9"/>
        <v>0</v>
      </c>
      <c r="P59" s="596"/>
    </row>
    <row r="60" spans="1:16" ht="13.5" thickBot="1">
      <c r="A60" s="1164"/>
      <c r="B60" s="316"/>
      <c r="C60" s="604">
        <v>45206712</v>
      </c>
      <c r="D60" s="298" t="s">
        <v>3986</v>
      </c>
      <c r="E60" s="491">
        <v>2625</v>
      </c>
      <c r="F60" s="320">
        <f t="shared" si="0"/>
        <v>1575</v>
      </c>
      <c r="G60" s="343">
        <f t="shared" si="1"/>
        <v>0</v>
      </c>
      <c r="H60" s="321">
        <f t="shared" si="2"/>
        <v>133.08750000000001</v>
      </c>
      <c r="I60" s="343">
        <f t="shared" si="3"/>
        <v>0</v>
      </c>
      <c r="J60" s="344">
        <f t="shared" si="4"/>
        <v>50.4</v>
      </c>
      <c r="K60" s="343">
        <f t="shared" si="5"/>
        <v>0</v>
      </c>
      <c r="L60" s="321">
        <f t="shared" si="6"/>
        <v>41.422499999999999</v>
      </c>
      <c r="M60" s="343">
        <f t="shared" si="7"/>
        <v>0</v>
      </c>
      <c r="N60" s="344">
        <f t="shared" si="8"/>
        <v>34.4925</v>
      </c>
      <c r="O60" s="343">
        <f t="shared" si="9"/>
        <v>0</v>
      </c>
      <c r="P60" s="596"/>
    </row>
    <row r="61" spans="1:16" ht="26.25" thickBot="1">
      <c r="A61" s="1164"/>
      <c r="B61" s="316"/>
      <c r="C61" s="604" t="s">
        <v>244</v>
      </c>
      <c r="D61" s="605" t="s">
        <v>3855</v>
      </c>
      <c r="E61" s="491">
        <v>1259.3900000000001</v>
      </c>
      <c r="F61" s="320">
        <f t="shared" si="0"/>
        <v>755.63400000000001</v>
      </c>
      <c r="G61" s="343">
        <f t="shared" si="1"/>
        <v>0</v>
      </c>
      <c r="H61" s="321">
        <f t="shared" si="2"/>
        <v>63.851073000000007</v>
      </c>
      <c r="I61" s="343">
        <f t="shared" si="3"/>
        <v>0</v>
      </c>
      <c r="J61" s="344">
        <f t="shared" si="4"/>
        <v>24.180288000000001</v>
      </c>
      <c r="K61" s="343">
        <f t="shared" si="5"/>
        <v>0</v>
      </c>
      <c r="L61" s="321">
        <f t="shared" si="6"/>
        <v>19.873174200000001</v>
      </c>
      <c r="M61" s="343">
        <f t="shared" si="7"/>
        <v>0</v>
      </c>
      <c r="N61" s="344">
        <f t="shared" si="8"/>
        <v>16.548384599999999</v>
      </c>
      <c r="O61" s="343">
        <f t="shared" si="9"/>
        <v>0</v>
      </c>
      <c r="P61" s="596"/>
    </row>
    <row r="62" spans="1:16" ht="13.5" thickBot="1">
      <c r="A62" s="1164"/>
      <c r="B62" s="316"/>
      <c r="C62" s="297" t="s">
        <v>3856</v>
      </c>
      <c r="D62" s="517" t="s">
        <v>4039</v>
      </c>
      <c r="E62" s="491">
        <v>1399.56</v>
      </c>
      <c r="F62" s="320">
        <f t="shared" si="0"/>
        <v>839.73599999999999</v>
      </c>
      <c r="G62" s="322">
        <f t="shared" si="1"/>
        <v>0</v>
      </c>
      <c r="H62" s="321">
        <f t="shared" si="2"/>
        <v>70.957692000000009</v>
      </c>
      <c r="I62" s="343">
        <f t="shared" si="3"/>
        <v>0</v>
      </c>
      <c r="J62" s="344">
        <f t="shared" si="4"/>
        <v>26.871552000000001</v>
      </c>
      <c r="K62" s="343">
        <f t="shared" si="5"/>
        <v>0</v>
      </c>
      <c r="L62" s="321">
        <f t="shared" si="6"/>
        <v>22.0850568</v>
      </c>
      <c r="M62" s="343">
        <f t="shared" si="7"/>
        <v>0</v>
      </c>
      <c r="N62" s="344">
        <f t="shared" si="8"/>
        <v>18.390218399999998</v>
      </c>
      <c r="O62" s="343">
        <f t="shared" si="9"/>
        <v>0</v>
      </c>
      <c r="P62" s="596"/>
    </row>
    <row r="63" spans="1:16" ht="26.25" thickBot="1">
      <c r="A63" s="1164"/>
      <c r="B63" s="316"/>
      <c r="C63" s="922" t="s">
        <v>3858</v>
      </c>
      <c r="D63" s="605" t="s">
        <v>429</v>
      </c>
      <c r="E63" s="491">
        <v>2172.17</v>
      </c>
      <c r="F63" s="320">
        <f t="shared" si="0"/>
        <v>1303.3019999999999</v>
      </c>
      <c r="G63" s="322">
        <f t="shared" si="1"/>
        <v>0</v>
      </c>
      <c r="H63" s="321">
        <f t="shared" si="2"/>
        <v>110.129019</v>
      </c>
      <c r="I63" s="343">
        <f t="shared" si="3"/>
        <v>0</v>
      </c>
      <c r="J63" s="344">
        <f t="shared" si="4"/>
        <v>41.705663999999999</v>
      </c>
      <c r="K63" s="343">
        <f t="shared" si="5"/>
        <v>0</v>
      </c>
      <c r="L63" s="321">
        <f t="shared" si="6"/>
        <v>34.276842599999995</v>
      </c>
      <c r="M63" s="343">
        <f t="shared" si="7"/>
        <v>0</v>
      </c>
      <c r="N63" s="344">
        <f t="shared" si="8"/>
        <v>28.542313799999999</v>
      </c>
      <c r="O63" s="343">
        <f t="shared" si="9"/>
        <v>0</v>
      </c>
      <c r="P63" s="596"/>
    </row>
    <row r="64" spans="1:16" ht="26.25" thickBot="1">
      <c r="A64" s="1164"/>
      <c r="B64" s="316"/>
      <c r="C64" s="923" t="s">
        <v>3914</v>
      </c>
      <c r="D64" s="668" t="s">
        <v>4038</v>
      </c>
      <c r="E64" s="320">
        <v>4008.22</v>
      </c>
      <c r="F64" s="320">
        <f t="shared" si="0"/>
        <v>2404.9319999999998</v>
      </c>
      <c r="G64" s="322">
        <f t="shared" si="1"/>
        <v>0</v>
      </c>
      <c r="H64" s="321">
        <f t="shared" si="2"/>
        <v>203.21675400000001</v>
      </c>
      <c r="I64" s="343">
        <f t="shared" si="3"/>
        <v>0</v>
      </c>
      <c r="J64" s="344">
        <f t="shared" si="4"/>
        <v>76.957823999999988</v>
      </c>
      <c r="K64" s="343">
        <f t="shared" si="5"/>
        <v>0</v>
      </c>
      <c r="L64" s="321">
        <f t="shared" si="6"/>
        <v>63.249711599999998</v>
      </c>
      <c r="M64" s="343">
        <f t="shared" si="7"/>
        <v>0</v>
      </c>
      <c r="N64" s="344">
        <f t="shared" si="8"/>
        <v>52.66801079999999</v>
      </c>
      <c r="O64" s="343">
        <f t="shared" si="9"/>
        <v>0</v>
      </c>
      <c r="P64" s="596"/>
    </row>
    <row r="65" spans="1:16" ht="13.5" thickBot="1">
      <c r="A65" s="1164"/>
      <c r="B65" s="319"/>
      <c r="C65" s="922" t="s">
        <v>3861</v>
      </c>
      <c r="D65" s="605" t="s">
        <v>3919</v>
      </c>
      <c r="E65" s="491">
        <v>1828.63</v>
      </c>
      <c r="F65" s="320">
        <f t="shared" si="0"/>
        <v>1097.1780000000001</v>
      </c>
      <c r="G65" s="322">
        <f t="shared" si="1"/>
        <v>0</v>
      </c>
      <c r="H65" s="321">
        <f t="shared" si="2"/>
        <v>92.711541000000011</v>
      </c>
      <c r="I65" s="343">
        <f t="shared" si="3"/>
        <v>0</v>
      </c>
      <c r="J65" s="344">
        <f t="shared" si="4"/>
        <v>35.109696000000007</v>
      </c>
      <c r="K65" s="343">
        <f t="shared" si="5"/>
        <v>0</v>
      </c>
      <c r="L65" s="321">
        <f t="shared" si="6"/>
        <v>28.855781400000005</v>
      </c>
      <c r="M65" s="343">
        <f t="shared" si="7"/>
        <v>0</v>
      </c>
      <c r="N65" s="344">
        <f t="shared" si="8"/>
        <v>24.028198200000002</v>
      </c>
      <c r="O65" s="343">
        <f t="shared" si="9"/>
        <v>0</v>
      </c>
      <c r="P65" s="596"/>
    </row>
    <row r="66" spans="1:16" ht="13.5" thickBot="1">
      <c r="A66" s="1164"/>
      <c r="B66" s="316"/>
      <c r="C66" s="604" t="s">
        <v>123</v>
      </c>
      <c r="D66" s="605" t="s">
        <v>3923</v>
      </c>
      <c r="E66" s="491">
        <v>329.56</v>
      </c>
      <c r="F66" s="320">
        <f t="shared" si="0"/>
        <v>197.73599999999999</v>
      </c>
      <c r="G66" s="322">
        <f t="shared" si="1"/>
        <v>0</v>
      </c>
      <c r="H66" s="321">
        <f t="shared" si="2"/>
        <v>16.708691999999999</v>
      </c>
      <c r="I66" s="343">
        <f t="shared" si="3"/>
        <v>0</v>
      </c>
      <c r="J66" s="344">
        <f t="shared" si="4"/>
        <v>6.3275519999999998</v>
      </c>
      <c r="K66" s="343">
        <f t="shared" si="5"/>
        <v>0</v>
      </c>
      <c r="L66" s="321">
        <f t="shared" si="6"/>
        <v>5.2004567999999995</v>
      </c>
      <c r="M66" s="343">
        <f t="shared" si="7"/>
        <v>0</v>
      </c>
      <c r="N66" s="344">
        <f t="shared" si="8"/>
        <v>4.3304183999999992</v>
      </c>
      <c r="O66" s="343">
        <f t="shared" si="9"/>
        <v>0</v>
      </c>
      <c r="P66" s="596"/>
    </row>
    <row r="67" spans="1:16" ht="13.5" thickBot="1">
      <c r="A67" s="1164"/>
      <c r="B67" s="318"/>
      <c r="C67" s="604" t="s">
        <v>3862</v>
      </c>
      <c r="D67" s="605" t="s">
        <v>3929</v>
      </c>
      <c r="E67" s="491">
        <v>4449.0600000000004</v>
      </c>
      <c r="F67" s="320">
        <f t="shared" si="0"/>
        <v>2669.4360000000001</v>
      </c>
      <c r="G67" s="322">
        <f t="shared" si="1"/>
        <v>0</v>
      </c>
      <c r="H67" s="321">
        <f t="shared" si="2"/>
        <v>225.56734200000002</v>
      </c>
      <c r="I67" s="343">
        <f t="shared" si="3"/>
        <v>0</v>
      </c>
      <c r="J67" s="344">
        <f t="shared" si="4"/>
        <v>85.421952000000005</v>
      </c>
      <c r="K67" s="343">
        <f t="shared" si="5"/>
        <v>0</v>
      </c>
      <c r="L67" s="321">
        <f t="shared" si="6"/>
        <v>70.206166800000005</v>
      </c>
      <c r="M67" s="343">
        <f t="shared" si="7"/>
        <v>0</v>
      </c>
      <c r="N67" s="344">
        <f t="shared" si="8"/>
        <v>58.460648400000004</v>
      </c>
      <c r="O67" s="343">
        <f t="shared" si="9"/>
        <v>0</v>
      </c>
      <c r="P67" s="596"/>
    </row>
    <row r="68" spans="1:16" ht="13.5" thickBot="1">
      <c r="A68" s="1164"/>
      <c r="B68" s="319"/>
      <c r="C68" s="604" t="s">
        <v>3863</v>
      </c>
      <c r="D68" s="298" t="s">
        <v>3864</v>
      </c>
      <c r="E68" s="491">
        <v>352.03</v>
      </c>
      <c r="F68" s="320">
        <f t="shared" si="0"/>
        <v>211.21799999999999</v>
      </c>
      <c r="G68" s="322">
        <f t="shared" si="1"/>
        <v>0</v>
      </c>
      <c r="H68" s="321">
        <f t="shared" si="2"/>
        <v>17.847920999999999</v>
      </c>
      <c r="I68" s="343">
        <f t="shared" si="3"/>
        <v>0</v>
      </c>
      <c r="J68" s="344">
        <f t="shared" si="4"/>
        <v>6.7589759999999997</v>
      </c>
      <c r="K68" s="343">
        <f t="shared" si="5"/>
        <v>0</v>
      </c>
      <c r="L68" s="321">
        <f t="shared" si="6"/>
        <v>5.5550334000000001</v>
      </c>
      <c r="M68" s="343">
        <f t="shared" si="7"/>
        <v>0</v>
      </c>
      <c r="N68" s="344">
        <f t="shared" si="8"/>
        <v>4.6256741999999997</v>
      </c>
      <c r="O68" s="343">
        <f t="shared" si="9"/>
        <v>0</v>
      </c>
      <c r="P68" s="596"/>
    </row>
    <row r="69" spans="1:16" ht="13.5" thickBot="1">
      <c r="A69" s="1164"/>
      <c r="B69" s="316"/>
      <c r="C69" s="604" t="s">
        <v>214</v>
      </c>
      <c r="D69" s="605" t="s">
        <v>246</v>
      </c>
      <c r="E69" s="491">
        <v>588.5</v>
      </c>
      <c r="F69" s="320">
        <f t="shared" si="0"/>
        <v>353.09999999999997</v>
      </c>
      <c r="G69" s="322">
        <f t="shared" si="1"/>
        <v>0</v>
      </c>
      <c r="H69" s="321">
        <f t="shared" si="2"/>
        <v>29.836949999999998</v>
      </c>
      <c r="I69" s="343">
        <f t="shared" si="3"/>
        <v>0</v>
      </c>
      <c r="J69" s="344">
        <f t="shared" si="4"/>
        <v>11.299199999999999</v>
      </c>
      <c r="K69" s="343">
        <f t="shared" si="5"/>
        <v>0</v>
      </c>
      <c r="L69" s="321">
        <f t="shared" si="6"/>
        <v>9.2865299999999991</v>
      </c>
      <c r="M69" s="343">
        <f t="shared" si="7"/>
        <v>0</v>
      </c>
      <c r="N69" s="344">
        <f t="shared" si="8"/>
        <v>7.7328899999999994</v>
      </c>
      <c r="O69" s="343">
        <f t="shared" si="9"/>
        <v>0</v>
      </c>
      <c r="P69" s="596"/>
    </row>
    <row r="70" spans="1:16" s="524" customFormat="1" ht="13.5" thickBot="1">
      <c r="A70" s="1164"/>
      <c r="B70" s="585"/>
      <c r="C70" s="591" t="s">
        <v>3865</v>
      </c>
      <c r="D70" s="669" t="s">
        <v>3866</v>
      </c>
      <c r="E70" s="657">
        <v>145.52000000000001</v>
      </c>
      <c r="F70" s="320">
        <f t="shared" si="0"/>
        <v>87.311999999999998</v>
      </c>
      <c r="G70" s="322">
        <f t="shared" si="1"/>
        <v>0</v>
      </c>
      <c r="H70" s="321">
        <f t="shared" si="2"/>
        <v>7.3778640000000006</v>
      </c>
      <c r="I70" s="343">
        <f t="shared" si="3"/>
        <v>0</v>
      </c>
      <c r="J70" s="321">
        <f t="shared" si="4"/>
        <v>2.793984</v>
      </c>
      <c r="K70" s="343">
        <f t="shared" si="5"/>
        <v>0</v>
      </c>
      <c r="L70" s="321">
        <f t="shared" si="6"/>
        <v>2.2963056000000002</v>
      </c>
      <c r="M70" s="343">
        <f t="shared" si="7"/>
        <v>0</v>
      </c>
      <c r="N70" s="321">
        <f t="shared" si="8"/>
        <v>1.9121328</v>
      </c>
      <c r="O70" s="343">
        <f t="shared" si="9"/>
        <v>0</v>
      </c>
      <c r="P70" s="596"/>
    </row>
    <row r="71" spans="1:16" s="519" customFormat="1" ht="13.5" thickBot="1">
      <c r="A71" s="1164"/>
      <c r="B71" s="585"/>
      <c r="C71" s="297" t="s">
        <v>3930</v>
      </c>
      <c r="D71" s="605" t="s">
        <v>3931</v>
      </c>
      <c r="E71" s="491">
        <v>1470</v>
      </c>
      <c r="F71" s="320">
        <f t="shared" si="0"/>
        <v>882</v>
      </c>
      <c r="G71" s="322">
        <f t="shared" si="1"/>
        <v>0</v>
      </c>
      <c r="H71" s="321">
        <f t="shared" si="2"/>
        <v>74.529000000000011</v>
      </c>
      <c r="I71" s="343">
        <f t="shared" si="3"/>
        <v>0</v>
      </c>
      <c r="J71" s="321">
        <f t="shared" si="4"/>
        <v>28.224</v>
      </c>
      <c r="K71" s="343">
        <f t="shared" si="5"/>
        <v>0</v>
      </c>
      <c r="L71" s="321">
        <f t="shared" si="6"/>
        <v>23.1966</v>
      </c>
      <c r="M71" s="343">
        <f t="shared" si="7"/>
        <v>0</v>
      </c>
      <c r="N71" s="321">
        <f t="shared" si="8"/>
        <v>19.315799999999999</v>
      </c>
      <c r="O71" s="343">
        <f t="shared" si="9"/>
        <v>0</v>
      </c>
      <c r="P71" s="596"/>
    </row>
    <row r="72" spans="1:16" ht="13.5" thickBot="1">
      <c r="A72" s="1164"/>
      <c r="B72" s="316"/>
      <c r="C72" s="604" t="s">
        <v>127</v>
      </c>
      <c r="D72" s="517" t="s">
        <v>3947</v>
      </c>
      <c r="E72" s="491">
        <v>148.72999999999999</v>
      </c>
      <c r="F72" s="320">
        <f t="shared" si="0"/>
        <v>89.237999999999985</v>
      </c>
      <c r="G72" s="322">
        <f t="shared" si="1"/>
        <v>0</v>
      </c>
      <c r="H72" s="321">
        <f t="shared" si="2"/>
        <v>7.5406109999999993</v>
      </c>
      <c r="I72" s="343">
        <f t="shared" si="3"/>
        <v>0</v>
      </c>
      <c r="J72" s="344">
        <f t="shared" si="4"/>
        <v>2.8556159999999995</v>
      </c>
      <c r="K72" s="343">
        <f t="shared" si="5"/>
        <v>0</v>
      </c>
      <c r="L72" s="321">
        <f t="shared" si="6"/>
        <v>2.3469593999999998</v>
      </c>
      <c r="M72" s="343">
        <f t="shared" si="7"/>
        <v>0</v>
      </c>
      <c r="N72" s="344">
        <f t="shared" si="8"/>
        <v>1.9543121999999997</v>
      </c>
      <c r="O72" s="343">
        <f t="shared" si="9"/>
        <v>0</v>
      </c>
      <c r="P72" s="596"/>
    </row>
    <row r="73" spans="1:16" ht="13.5" thickBot="1">
      <c r="A73" s="1164"/>
      <c r="B73" s="319"/>
      <c r="C73" s="604" t="s">
        <v>129</v>
      </c>
      <c r="D73" s="605" t="s">
        <v>171</v>
      </c>
      <c r="E73" s="491">
        <v>785</v>
      </c>
      <c r="F73" s="320">
        <f t="shared" si="0"/>
        <v>471</v>
      </c>
      <c r="G73" s="322">
        <f t="shared" si="1"/>
        <v>0</v>
      </c>
      <c r="H73" s="321">
        <f t="shared" si="2"/>
        <v>39.799500000000002</v>
      </c>
      <c r="I73" s="343">
        <f t="shared" si="3"/>
        <v>0</v>
      </c>
      <c r="J73" s="344">
        <f t="shared" si="4"/>
        <v>15.072000000000001</v>
      </c>
      <c r="K73" s="343">
        <f t="shared" si="5"/>
        <v>0</v>
      </c>
      <c r="L73" s="321">
        <f t="shared" si="6"/>
        <v>12.3873</v>
      </c>
      <c r="M73" s="343">
        <f t="shared" si="7"/>
        <v>0</v>
      </c>
      <c r="N73" s="344">
        <f t="shared" si="8"/>
        <v>10.3149</v>
      </c>
      <c r="O73" s="343">
        <f t="shared" si="9"/>
        <v>0</v>
      </c>
      <c r="P73" s="596"/>
    </row>
    <row r="74" spans="1:16" ht="13.5" thickBot="1">
      <c r="A74" s="1164"/>
      <c r="B74" s="325"/>
      <c r="C74" s="604" t="s">
        <v>131</v>
      </c>
      <c r="D74" s="605" t="s">
        <v>4040</v>
      </c>
      <c r="E74" s="491">
        <v>821</v>
      </c>
      <c r="F74" s="320">
        <f t="shared" si="0"/>
        <v>492.59999999999997</v>
      </c>
      <c r="G74" s="322">
        <f t="shared" si="1"/>
        <v>0</v>
      </c>
      <c r="H74" s="321">
        <f t="shared" ref="H74:H97" si="10">F74*0.0845</f>
        <v>41.624699999999997</v>
      </c>
      <c r="I74" s="343">
        <f t="shared" si="3"/>
        <v>0</v>
      </c>
      <c r="J74" s="344">
        <f t="shared" ref="J74:J97" si="11">F74*0.032</f>
        <v>15.763199999999999</v>
      </c>
      <c r="K74" s="343">
        <f t="shared" si="5"/>
        <v>0</v>
      </c>
      <c r="L74" s="321">
        <f t="shared" ref="L74:L97" si="12">F74*0.0263</f>
        <v>12.95538</v>
      </c>
      <c r="M74" s="343">
        <f t="shared" si="7"/>
        <v>0</v>
      </c>
      <c r="N74" s="344">
        <f t="shared" ref="N74:N97" si="13">F74*0.0219</f>
        <v>10.787939999999999</v>
      </c>
      <c r="O74" s="343">
        <f t="shared" si="9"/>
        <v>0</v>
      </c>
      <c r="P74" s="596"/>
    </row>
    <row r="75" spans="1:16" ht="13.5" thickBot="1">
      <c r="A75" s="1164"/>
      <c r="B75" s="316"/>
      <c r="C75" s="586" t="s">
        <v>133</v>
      </c>
      <c r="D75" s="587" t="s">
        <v>134</v>
      </c>
      <c r="E75" s="451">
        <v>690</v>
      </c>
      <c r="F75" s="320">
        <f t="shared" si="0"/>
        <v>414</v>
      </c>
      <c r="G75" s="566">
        <f t="shared" si="1"/>
        <v>0</v>
      </c>
      <c r="H75" s="567">
        <f t="shared" si="10"/>
        <v>34.983000000000004</v>
      </c>
      <c r="I75" s="567">
        <f t="shared" si="3"/>
        <v>0</v>
      </c>
      <c r="J75" s="670">
        <f t="shared" si="11"/>
        <v>13.248000000000001</v>
      </c>
      <c r="K75" s="567">
        <f t="shared" si="5"/>
        <v>0</v>
      </c>
      <c r="L75" s="567">
        <f t="shared" si="12"/>
        <v>10.888199999999999</v>
      </c>
      <c r="M75" s="567">
        <f t="shared" si="7"/>
        <v>0</v>
      </c>
      <c r="N75" s="670">
        <f t="shared" si="13"/>
        <v>9.0665999999999993</v>
      </c>
      <c r="O75" s="567">
        <f t="shared" si="9"/>
        <v>0</v>
      </c>
      <c r="P75" s="596"/>
    </row>
    <row r="76" spans="1:16" ht="13.5" thickBot="1">
      <c r="A76" s="1164"/>
      <c r="B76" s="323"/>
      <c r="C76" s="297" t="s">
        <v>135</v>
      </c>
      <c r="D76" s="298" t="s">
        <v>136</v>
      </c>
      <c r="E76" s="326">
        <v>191</v>
      </c>
      <c r="F76" s="320">
        <f t="shared" si="0"/>
        <v>114.6</v>
      </c>
      <c r="G76" s="566">
        <f t="shared" si="1"/>
        <v>0</v>
      </c>
      <c r="H76" s="567">
        <f t="shared" si="10"/>
        <v>9.6837</v>
      </c>
      <c r="I76" s="567">
        <f t="shared" si="3"/>
        <v>0</v>
      </c>
      <c r="J76" s="670">
        <f t="shared" si="11"/>
        <v>3.6671999999999998</v>
      </c>
      <c r="K76" s="567">
        <f t="shared" si="5"/>
        <v>0</v>
      </c>
      <c r="L76" s="567">
        <f t="shared" si="12"/>
        <v>3.0139800000000001</v>
      </c>
      <c r="M76" s="567">
        <f t="shared" si="7"/>
        <v>0</v>
      </c>
      <c r="N76" s="670">
        <f t="shared" si="13"/>
        <v>2.5097399999999999</v>
      </c>
      <c r="O76" s="567">
        <f t="shared" si="9"/>
        <v>0</v>
      </c>
      <c r="P76" s="596"/>
    </row>
    <row r="77" spans="1:16" ht="13.5" thickBot="1">
      <c r="A77" s="1164"/>
      <c r="B77" s="319"/>
      <c r="C77" s="604" t="s">
        <v>137</v>
      </c>
      <c r="D77" s="298" t="s">
        <v>4041</v>
      </c>
      <c r="E77" s="491">
        <v>667.8</v>
      </c>
      <c r="F77" s="320">
        <f t="shared" si="0"/>
        <v>400.67999999999995</v>
      </c>
      <c r="G77" s="322">
        <f t="shared" si="1"/>
        <v>0</v>
      </c>
      <c r="H77" s="321">
        <f t="shared" si="10"/>
        <v>33.857459999999996</v>
      </c>
      <c r="I77" s="343">
        <f t="shared" si="3"/>
        <v>0</v>
      </c>
      <c r="J77" s="344">
        <f t="shared" si="11"/>
        <v>12.821759999999999</v>
      </c>
      <c r="K77" s="343">
        <f t="shared" si="5"/>
        <v>0</v>
      </c>
      <c r="L77" s="321">
        <f t="shared" si="12"/>
        <v>10.537883999999998</v>
      </c>
      <c r="M77" s="343">
        <f t="shared" si="7"/>
        <v>0</v>
      </c>
      <c r="N77" s="344">
        <f t="shared" si="13"/>
        <v>8.7748919999999995</v>
      </c>
      <c r="O77" s="343">
        <f t="shared" si="9"/>
        <v>0</v>
      </c>
      <c r="P77" s="596"/>
    </row>
    <row r="78" spans="1:16" ht="13.5" thickBot="1">
      <c r="A78" s="1164"/>
      <c r="B78" s="325"/>
      <c r="C78" s="604" t="s">
        <v>139</v>
      </c>
      <c r="D78" s="605" t="s">
        <v>140</v>
      </c>
      <c r="E78" s="491">
        <v>250</v>
      </c>
      <c r="F78" s="320">
        <f t="shared" si="0"/>
        <v>150</v>
      </c>
      <c r="G78" s="322">
        <f t="shared" si="1"/>
        <v>0</v>
      </c>
      <c r="H78" s="321">
        <f t="shared" si="10"/>
        <v>12.675000000000001</v>
      </c>
      <c r="I78" s="343">
        <f t="shared" si="3"/>
        <v>0</v>
      </c>
      <c r="J78" s="344">
        <f t="shared" si="11"/>
        <v>4.8</v>
      </c>
      <c r="K78" s="343">
        <f t="shared" si="5"/>
        <v>0</v>
      </c>
      <c r="L78" s="321">
        <f t="shared" si="12"/>
        <v>3.9450000000000003</v>
      </c>
      <c r="M78" s="343">
        <f t="shared" si="7"/>
        <v>0</v>
      </c>
      <c r="N78" s="344">
        <f t="shared" si="13"/>
        <v>3.2849999999999997</v>
      </c>
      <c r="O78" s="343">
        <f t="shared" si="9"/>
        <v>0</v>
      </c>
      <c r="P78" s="596"/>
    </row>
    <row r="79" spans="1:16" ht="13.5" thickBot="1">
      <c r="A79" s="1164"/>
      <c r="B79" s="316"/>
      <c r="C79" s="604" t="s">
        <v>141</v>
      </c>
      <c r="D79" s="298" t="s">
        <v>4042</v>
      </c>
      <c r="E79" s="491">
        <v>250</v>
      </c>
      <c r="F79" s="320">
        <f t="shared" si="0"/>
        <v>150</v>
      </c>
      <c r="G79" s="322">
        <f t="shared" si="1"/>
        <v>0</v>
      </c>
      <c r="H79" s="321">
        <f t="shared" si="10"/>
        <v>12.675000000000001</v>
      </c>
      <c r="I79" s="343">
        <f t="shared" si="3"/>
        <v>0</v>
      </c>
      <c r="J79" s="344">
        <f t="shared" si="11"/>
        <v>4.8</v>
      </c>
      <c r="K79" s="343">
        <f t="shared" si="5"/>
        <v>0</v>
      </c>
      <c r="L79" s="321">
        <f t="shared" si="12"/>
        <v>3.9450000000000003</v>
      </c>
      <c r="M79" s="343">
        <f t="shared" si="7"/>
        <v>0</v>
      </c>
      <c r="N79" s="344">
        <f t="shared" si="13"/>
        <v>3.2849999999999997</v>
      </c>
      <c r="O79" s="343">
        <f t="shared" si="9"/>
        <v>0</v>
      </c>
      <c r="P79" s="596"/>
    </row>
    <row r="80" spans="1:16" ht="26.25" thickBot="1">
      <c r="A80" s="1164"/>
      <c r="B80" s="316"/>
      <c r="C80" s="671" t="s">
        <v>251</v>
      </c>
      <c r="D80" s="570" t="s">
        <v>3868</v>
      </c>
      <c r="E80" s="491">
        <v>1959</v>
      </c>
      <c r="F80" s="320">
        <f t="shared" si="0"/>
        <v>1175.3999999999999</v>
      </c>
      <c r="G80" s="322">
        <f t="shared" si="1"/>
        <v>0</v>
      </c>
      <c r="H80" s="321">
        <f t="shared" si="10"/>
        <v>99.321299999999994</v>
      </c>
      <c r="I80" s="343">
        <f t="shared" si="3"/>
        <v>0</v>
      </c>
      <c r="J80" s="344">
        <f t="shared" si="11"/>
        <v>37.612799999999993</v>
      </c>
      <c r="K80" s="343">
        <f t="shared" si="5"/>
        <v>0</v>
      </c>
      <c r="L80" s="321">
        <f t="shared" si="12"/>
        <v>30.913019999999996</v>
      </c>
      <c r="M80" s="343">
        <f t="shared" si="7"/>
        <v>0</v>
      </c>
      <c r="N80" s="344">
        <f t="shared" si="13"/>
        <v>25.741259999999997</v>
      </c>
      <c r="O80" s="343">
        <f t="shared" si="9"/>
        <v>0</v>
      </c>
      <c r="P80" s="596"/>
    </row>
    <row r="81" spans="1:16" ht="13.5" thickBot="1">
      <c r="A81" s="1164"/>
      <c r="B81" s="325"/>
      <c r="C81" s="604" t="s">
        <v>252</v>
      </c>
      <c r="D81" s="298" t="s">
        <v>3869</v>
      </c>
      <c r="E81" s="491">
        <v>996.17</v>
      </c>
      <c r="F81" s="320">
        <f t="shared" si="0"/>
        <v>597.702</v>
      </c>
      <c r="G81" s="322">
        <f t="shared" si="1"/>
        <v>0</v>
      </c>
      <c r="H81" s="321">
        <f t="shared" si="10"/>
        <v>50.505819000000002</v>
      </c>
      <c r="I81" s="343">
        <f t="shared" si="3"/>
        <v>0</v>
      </c>
      <c r="J81" s="344">
        <f t="shared" si="11"/>
        <v>19.126463999999999</v>
      </c>
      <c r="K81" s="343">
        <f t="shared" si="5"/>
        <v>0</v>
      </c>
      <c r="L81" s="321">
        <f t="shared" si="12"/>
        <v>15.7195626</v>
      </c>
      <c r="M81" s="343">
        <f t="shared" si="7"/>
        <v>0</v>
      </c>
      <c r="N81" s="344">
        <f t="shared" si="13"/>
        <v>13.0896738</v>
      </c>
      <c r="O81" s="343">
        <f t="shared" si="9"/>
        <v>0</v>
      </c>
      <c r="P81" s="596"/>
    </row>
    <row r="82" spans="1:16" ht="13.5" thickBot="1">
      <c r="A82" s="1164"/>
      <c r="B82" s="325"/>
      <c r="C82" s="604" t="s">
        <v>218</v>
      </c>
      <c r="D82" s="298" t="s">
        <v>253</v>
      </c>
      <c r="E82" s="491">
        <v>70.62</v>
      </c>
      <c r="F82" s="320">
        <f t="shared" si="0"/>
        <v>42.372</v>
      </c>
      <c r="G82" s="322">
        <f t="shared" si="1"/>
        <v>0</v>
      </c>
      <c r="H82" s="321">
        <f t="shared" si="10"/>
        <v>3.5804340000000003</v>
      </c>
      <c r="I82" s="343">
        <f t="shared" si="3"/>
        <v>0</v>
      </c>
      <c r="J82" s="344">
        <f t="shared" si="11"/>
        <v>1.355904</v>
      </c>
      <c r="K82" s="343">
        <f t="shared" si="5"/>
        <v>0</v>
      </c>
      <c r="L82" s="321">
        <f t="shared" si="12"/>
        <v>1.1143836</v>
      </c>
      <c r="M82" s="343">
        <f t="shared" si="7"/>
        <v>0</v>
      </c>
      <c r="N82" s="344">
        <f t="shared" si="13"/>
        <v>0.92794679999999996</v>
      </c>
      <c r="O82" s="343">
        <f t="shared" si="9"/>
        <v>0</v>
      </c>
      <c r="P82" s="596"/>
    </row>
    <row r="83" spans="1:16" ht="13.5" thickBot="1">
      <c r="A83" s="1164"/>
      <c r="B83" s="316"/>
      <c r="C83" s="604" t="s">
        <v>3870</v>
      </c>
      <c r="D83" s="605" t="s">
        <v>433</v>
      </c>
      <c r="E83" s="491">
        <v>131.61000000000001</v>
      </c>
      <c r="F83" s="320">
        <f>E83*(1-40%)</f>
        <v>78.966000000000008</v>
      </c>
      <c r="G83" s="322">
        <f>F83*B83</f>
        <v>0</v>
      </c>
      <c r="H83" s="321">
        <f t="shared" si="10"/>
        <v>6.6726270000000012</v>
      </c>
      <c r="I83" s="343">
        <f>H83*B83</f>
        <v>0</v>
      </c>
      <c r="J83" s="344">
        <f t="shared" si="11"/>
        <v>2.5269120000000003</v>
      </c>
      <c r="K83" s="343">
        <f>J83*B83</f>
        <v>0</v>
      </c>
      <c r="L83" s="321">
        <f t="shared" si="12"/>
        <v>2.0768058000000003</v>
      </c>
      <c r="M83" s="343">
        <f>L83*B83</f>
        <v>0</v>
      </c>
      <c r="N83" s="344">
        <f t="shared" si="13"/>
        <v>1.7293554000000002</v>
      </c>
      <c r="O83" s="343">
        <f>N83*B83</f>
        <v>0</v>
      </c>
      <c r="P83" s="596"/>
    </row>
    <row r="84" spans="1:16" ht="13.5" thickBot="1">
      <c r="A84" s="1164"/>
      <c r="B84" s="316"/>
      <c r="C84" s="604" t="s">
        <v>3871</v>
      </c>
      <c r="D84" s="605" t="s">
        <v>385</v>
      </c>
      <c r="E84" s="491">
        <v>1075.3499999999999</v>
      </c>
      <c r="F84" s="320">
        <f>E84*(1-40%)</f>
        <v>645.20999999999992</v>
      </c>
      <c r="G84" s="322">
        <f>F84*B84</f>
        <v>0</v>
      </c>
      <c r="H84" s="321">
        <f t="shared" si="10"/>
        <v>54.520244999999996</v>
      </c>
      <c r="I84" s="343">
        <f>H84*B84</f>
        <v>0</v>
      </c>
      <c r="J84" s="344">
        <f t="shared" si="11"/>
        <v>20.646719999999998</v>
      </c>
      <c r="K84" s="343">
        <f>J84*B84</f>
        <v>0</v>
      </c>
      <c r="L84" s="321">
        <f t="shared" si="12"/>
        <v>16.969023</v>
      </c>
      <c r="M84" s="343">
        <f>L84*B84</f>
        <v>0</v>
      </c>
      <c r="N84" s="344">
        <f t="shared" si="13"/>
        <v>14.130098999999998</v>
      </c>
      <c r="O84" s="343">
        <f>N84*B84</f>
        <v>0</v>
      </c>
      <c r="P84" s="596"/>
    </row>
    <row r="85" spans="1:16" ht="13.5" thickBot="1">
      <c r="A85" s="1164"/>
      <c r="B85" s="316"/>
      <c r="C85" s="604" t="s">
        <v>3872</v>
      </c>
      <c r="D85" s="605" t="s">
        <v>386</v>
      </c>
      <c r="E85" s="491">
        <v>1402.77</v>
      </c>
      <c r="F85" s="320">
        <f>E85*(1-40%)</f>
        <v>841.66199999999992</v>
      </c>
      <c r="G85" s="322">
        <f>F85*B85</f>
        <v>0</v>
      </c>
      <c r="H85" s="321">
        <f t="shared" si="10"/>
        <v>71.120439000000005</v>
      </c>
      <c r="I85" s="343">
        <f>H85*B85</f>
        <v>0</v>
      </c>
      <c r="J85" s="344">
        <f t="shared" si="11"/>
        <v>26.933183999999997</v>
      </c>
      <c r="K85" s="343">
        <f>J85*B85</f>
        <v>0</v>
      </c>
      <c r="L85" s="321">
        <f t="shared" si="12"/>
        <v>22.135710599999999</v>
      </c>
      <c r="M85" s="343">
        <f>L85*B85</f>
        <v>0</v>
      </c>
      <c r="N85" s="344">
        <f t="shared" si="13"/>
        <v>18.432397799999997</v>
      </c>
      <c r="O85" s="343">
        <f>N85*B85</f>
        <v>0</v>
      </c>
      <c r="P85" s="596"/>
    </row>
    <row r="86" spans="1:16" ht="13.5" thickBot="1">
      <c r="A86" s="1164"/>
      <c r="B86" s="318"/>
      <c r="C86" s="604" t="s">
        <v>3873</v>
      </c>
      <c r="D86" s="605" t="s">
        <v>387</v>
      </c>
      <c r="E86" s="491">
        <v>1651.01</v>
      </c>
      <c r="F86" s="320">
        <f>E86*(1-40%)</f>
        <v>990.60599999999999</v>
      </c>
      <c r="G86" s="322">
        <f>F86*B86</f>
        <v>0</v>
      </c>
      <c r="H86" s="321">
        <f t="shared" si="10"/>
        <v>83.706207000000006</v>
      </c>
      <c r="I86" s="343">
        <f>H86*B86</f>
        <v>0</v>
      </c>
      <c r="J86" s="344">
        <f t="shared" si="11"/>
        <v>31.699392</v>
      </c>
      <c r="K86" s="343">
        <f>J86*B86</f>
        <v>0</v>
      </c>
      <c r="L86" s="321">
        <f t="shared" si="12"/>
        <v>26.052937799999999</v>
      </c>
      <c r="M86" s="343">
        <f>L86*B86</f>
        <v>0</v>
      </c>
      <c r="N86" s="344">
        <f t="shared" si="13"/>
        <v>21.694271399999998</v>
      </c>
      <c r="O86" s="343">
        <f>N86*B86</f>
        <v>0</v>
      </c>
      <c r="P86" s="596"/>
    </row>
    <row r="87" spans="1:16" ht="13.5" thickBot="1">
      <c r="A87" s="1164"/>
      <c r="B87" s="316"/>
      <c r="C87" s="604" t="s">
        <v>254</v>
      </c>
      <c r="D87" s="298" t="s">
        <v>3874</v>
      </c>
      <c r="E87" s="491">
        <v>1964.52</v>
      </c>
      <c r="F87" s="320">
        <f t="shared" si="0"/>
        <v>1178.712</v>
      </c>
      <c r="G87" s="322">
        <f t="shared" si="1"/>
        <v>0</v>
      </c>
      <c r="H87" s="321">
        <f t="shared" si="10"/>
        <v>99.601164000000011</v>
      </c>
      <c r="I87" s="343">
        <f t="shared" si="3"/>
        <v>0</v>
      </c>
      <c r="J87" s="344">
        <f t="shared" si="11"/>
        <v>37.718783999999999</v>
      </c>
      <c r="K87" s="343">
        <f t="shared" si="5"/>
        <v>0</v>
      </c>
      <c r="L87" s="321">
        <f t="shared" si="12"/>
        <v>31.000125600000001</v>
      </c>
      <c r="M87" s="343">
        <f t="shared" si="7"/>
        <v>0</v>
      </c>
      <c r="N87" s="344">
        <f t="shared" si="13"/>
        <v>25.813792799999998</v>
      </c>
      <c r="O87" s="343">
        <f t="shared" si="9"/>
        <v>0</v>
      </c>
      <c r="P87" s="596"/>
    </row>
    <row r="88" spans="1:16" ht="13.5" thickBot="1">
      <c r="A88" s="1164"/>
      <c r="B88" s="316"/>
      <c r="C88" s="604" t="s">
        <v>256</v>
      </c>
      <c r="D88" s="605" t="s">
        <v>3875</v>
      </c>
      <c r="E88" s="491">
        <v>690.15</v>
      </c>
      <c r="F88" s="320">
        <f t="shared" si="0"/>
        <v>414.09</v>
      </c>
      <c r="G88" s="322">
        <f t="shared" si="1"/>
        <v>0</v>
      </c>
      <c r="H88" s="321">
        <f t="shared" si="10"/>
        <v>34.990605000000002</v>
      </c>
      <c r="I88" s="343">
        <f t="shared" si="3"/>
        <v>0</v>
      </c>
      <c r="J88" s="344">
        <f t="shared" si="11"/>
        <v>13.250879999999999</v>
      </c>
      <c r="K88" s="343">
        <f t="shared" si="5"/>
        <v>0</v>
      </c>
      <c r="L88" s="321">
        <f t="shared" si="12"/>
        <v>10.890566999999999</v>
      </c>
      <c r="M88" s="343">
        <f t="shared" si="7"/>
        <v>0</v>
      </c>
      <c r="N88" s="344">
        <f t="shared" si="13"/>
        <v>9.0685709999999986</v>
      </c>
      <c r="O88" s="343">
        <f t="shared" si="9"/>
        <v>0</v>
      </c>
      <c r="P88" s="596"/>
    </row>
    <row r="89" spans="1:16" ht="13.5" thickBot="1">
      <c r="A89" s="1164"/>
      <c r="B89" s="316"/>
      <c r="C89" s="604" t="s">
        <v>3876</v>
      </c>
      <c r="D89" s="605" t="s">
        <v>4043</v>
      </c>
      <c r="E89" s="491">
        <v>690.15</v>
      </c>
      <c r="F89" s="320">
        <f t="shared" si="0"/>
        <v>414.09</v>
      </c>
      <c r="G89" s="322">
        <f t="shared" si="1"/>
        <v>0</v>
      </c>
      <c r="H89" s="321">
        <f t="shared" si="10"/>
        <v>34.990605000000002</v>
      </c>
      <c r="I89" s="343">
        <f t="shared" si="3"/>
        <v>0</v>
      </c>
      <c r="J89" s="344">
        <f t="shared" si="11"/>
        <v>13.250879999999999</v>
      </c>
      <c r="K89" s="343">
        <f t="shared" si="5"/>
        <v>0</v>
      </c>
      <c r="L89" s="321">
        <f t="shared" si="12"/>
        <v>10.890566999999999</v>
      </c>
      <c r="M89" s="343">
        <f t="shared" si="7"/>
        <v>0</v>
      </c>
      <c r="N89" s="344">
        <f t="shared" si="13"/>
        <v>9.0685709999999986</v>
      </c>
      <c r="O89" s="343">
        <f t="shared" si="9"/>
        <v>0</v>
      </c>
      <c r="P89" s="596"/>
    </row>
    <row r="90" spans="1:16" s="291" customFormat="1" ht="13.5" thickBot="1">
      <c r="A90" s="1164"/>
      <c r="B90" s="319"/>
      <c r="C90" s="651" t="s">
        <v>257</v>
      </c>
      <c r="D90" s="298" t="s">
        <v>3878</v>
      </c>
      <c r="E90" s="491">
        <v>1348</v>
      </c>
      <c r="F90" s="491">
        <f t="shared" si="0"/>
        <v>808.8</v>
      </c>
      <c r="G90" s="566">
        <f t="shared" si="1"/>
        <v>0</v>
      </c>
      <c r="H90" s="567">
        <f t="shared" si="10"/>
        <v>68.343599999999995</v>
      </c>
      <c r="I90" s="567">
        <f t="shared" si="3"/>
        <v>0</v>
      </c>
      <c r="J90" s="567">
        <f t="shared" si="11"/>
        <v>25.881599999999999</v>
      </c>
      <c r="K90" s="567">
        <f t="shared" si="5"/>
        <v>0</v>
      </c>
      <c r="L90" s="567">
        <f t="shared" si="12"/>
        <v>21.271439999999998</v>
      </c>
      <c r="M90" s="567">
        <f t="shared" si="7"/>
        <v>0</v>
      </c>
      <c r="N90" s="567">
        <f t="shared" si="13"/>
        <v>17.712719999999997</v>
      </c>
      <c r="O90" s="567">
        <f t="shared" si="9"/>
        <v>0</v>
      </c>
      <c r="P90" s="596"/>
    </row>
    <row r="91" spans="1:16" ht="13.5" thickBot="1">
      <c r="A91" s="1164"/>
      <c r="B91" s="316"/>
      <c r="C91" s="604" t="s">
        <v>258</v>
      </c>
      <c r="D91" s="605" t="s">
        <v>223</v>
      </c>
      <c r="E91" s="491">
        <v>56.71</v>
      </c>
      <c r="F91" s="320">
        <f t="shared" si="0"/>
        <v>34.025999999999996</v>
      </c>
      <c r="G91" s="322">
        <f t="shared" si="1"/>
        <v>0</v>
      </c>
      <c r="H91" s="321">
        <f t="shared" si="10"/>
        <v>2.875197</v>
      </c>
      <c r="I91" s="343">
        <f t="shared" si="3"/>
        <v>0</v>
      </c>
      <c r="J91" s="344">
        <f t="shared" si="11"/>
        <v>1.0888319999999998</v>
      </c>
      <c r="K91" s="343">
        <f t="shared" si="5"/>
        <v>0</v>
      </c>
      <c r="L91" s="321">
        <f t="shared" si="12"/>
        <v>0.8948837999999999</v>
      </c>
      <c r="M91" s="343">
        <f t="shared" si="7"/>
        <v>0</v>
      </c>
      <c r="N91" s="344">
        <f t="shared" si="13"/>
        <v>0.74516939999999987</v>
      </c>
      <c r="O91" s="343">
        <f t="shared" si="9"/>
        <v>0</v>
      </c>
      <c r="P91" s="596"/>
    </row>
    <row r="92" spans="1:16" ht="13.5" thickBot="1">
      <c r="A92" s="1164"/>
      <c r="B92" s="318"/>
      <c r="C92" s="604" t="s">
        <v>259</v>
      </c>
      <c r="D92" s="605" t="s">
        <v>436</v>
      </c>
      <c r="E92" s="491">
        <v>32.1</v>
      </c>
      <c r="F92" s="320">
        <f t="shared" si="0"/>
        <v>19.260000000000002</v>
      </c>
      <c r="G92" s="322">
        <f t="shared" si="1"/>
        <v>0</v>
      </c>
      <c r="H92" s="321">
        <f t="shared" si="10"/>
        <v>1.6274700000000002</v>
      </c>
      <c r="I92" s="343">
        <f t="shared" si="3"/>
        <v>0</v>
      </c>
      <c r="J92" s="344">
        <f t="shared" si="11"/>
        <v>0.61632000000000009</v>
      </c>
      <c r="K92" s="343">
        <f t="shared" si="5"/>
        <v>0</v>
      </c>
      <c r="L92" s="321">
        <f t="shared" si="12"/>
        <v>0.50653800000000004</v>
      </c>
      <c r="M92" s="343">
        <f t="shared" si="7"/>
        <v>0</v>
      </c>
      <c r="N92" s="344">
        <f t="shared" si="13"/>
        <v>0.421794</v>
      </c>
      <c r="O92" s="343">
        <f t="shared" si="9"/>
        <v>0</v>
      </c>
      <c r="P92" s="596"/>
    </row>
    <row r="93" spans="1:16" ht="13.5" thickBot="1">
      <c r="A93" s="1164"/>
      <c r="B93" s="319"/>
      <c r="C93" s="297" t="s">
        <v>527</v>
      </c>
      <c r="D93" s="605" t="s">
        <v>224</v>
      </c>
      <c r="E93" s="491">
        <v>35.31</v>
      </c>
      <c r="F93" s="320">
        <f t="shared" si="0"/>
        <v>21.186</v>
      </c>
      <c r="G93" s="322">
        <f t="shared" si="1"/>
        <v>0</v>
      </c>
      <c r="H93" s="321">
        <f t="shared" si="10"/>
        <v>1.7902170000000002</v>
      </c>
      <c r="I93" s="343">
        <f t="shared" si="3"/>
        <v>0</v>
      </c>
      <c r="J93" s="344">
        <f t="shared" si="11"/>
        <v>0.677952</v>
      </c>
      <c r="K93" s="343">
        <f t="shared" si="5"/>
        <v>0</v>
      </c>
      <c r="L93" s="321">
        <f t="shared" si="12"/>
        <v>0.55719180000000001</v>
      </c>
      <c r="M93" s="343">
        <f t="shared" si="7"/>
        <v>0</v>
      </c>
      <c r="N93" s="344">
        <f t="shared" si="13"/>
        <v>0.46397339999999998</v>
      </c>
      <c r="O93" s="343">
        <f t="shared" si="9"/>
        <v>0</v>
      </c>
      <c r="P93" s="596"/>
    </row>
    <row r="94" spans="1:16" ht="26.25" thickBot="1">
      <c r="A94" s="1164"/>
      <c r="B94" s="316"/>
      <c r="C94" s="604" t="s">
        <v>298</v>
      </c>
      <c r="D94" s="298" t="s">
        <v>4044</v>
      </c>
      <c r="E94" s="491">
        <v>669.82</v>
      </c>
      <c r="F94" s="320">
        <f t="shared" si="0"/>
        <v>401.892</v>
      </c>
      <c r="G94" s="322">
        <f t="shared" si="1"/>
        <v>0</v>
      </c>
      <c r="H94" s="321">
        <f t="shared" si="10"/>
        <v>33.959873999999999</v>
      </c>
      <c r="I94" s="343">
        <f t="shared" si="3"/>
        <v>0</v>
      </c>
      <c r="J94" s="344">
        <f t="shared" si="11"/>
        <v>12.860544000000001</v>
      </c>
      <c r="K94" s="343">
        <f t="shared" si="5"/>
        <v>0</v>
      </c>
      <c r="L94" s="321">
        <f t="shared" si="12"/>
        <v>10.569759599999999</v>
      </c>
      <c r="M94" s="343">
        <f t="shared" si="7"/>
        <v>0</v>
      </c>
      <c r="N94" s="344">
        <f t="shared" si="13"/>
        <v>8.8014347999999991</v>
      </c>
      <c r="O94" s="343">
        <f t="shared" si="9"/>
        <v>0</v>
      </c>
      <c r="P94" s="596"/>
    </row>
    <row r="95" spans="1:16" ht="13.5" thickBot="1">
      <c r="A95" s="1164"/>
      <c r="B95" s="319"/>
      <c r="C95" s="604" t="s">
        <v>530</v>
      </c>
      <c r="D95" s="605" t="s">
        <v>3926</v>
      </c>
      <c r="E95" s="491">
        <v>306.02</v>
      </c>
      <c r="F95" s="320">
        <f t="shared" si="0"/>
        <v>183.61199999999999</v>
      </c>
      <c r="G95" s="322">
        <f t="shared" si="1"/>
        <v>0</v>
      </c>
      <c r="H95" s="321">
        <f t="shared" si="10"/>
        <v>15.515214</v>
      </c>
      <c r="I95" s="343">
        <f t="shared" si="3"/>
        <v>0</v>
      </c>
      <c r="J95" s="344">
        <f t="shared" si="11"/>
        <v>5.8755839999999999</v>
      </c>
      <c r="K95" s="343">
        <f t="shared" si="5"/>
        <v>0</v>
      </c>
      <c r="L95" s="321">
        <f t="shared" si="12"/>
        <v>4.8289955999999998</v>
      </c>
      <c r="M95" s="343">
        <f t="shared" si="7"/>
        <v>0</v>
      </c>
      <c r="N95" s="344">
        <f t="shared" si="13"/>
        <v>4.0211027999999995</v>
      </c>
      <c r="O95" s="343">
        <f t="shared" si="9"/>
        <v>0</v>
      </c>
      <c r="P95" s="596"/>
    </row>
    <row r="96" spans="1:16" ht="13.5" thickBot="1">
      <c r="A96" s="1164"/>
      <c r="B96" s="316"/>
      <c r="C96" s="604" t="s">
        <v>299</v>
      </c>
      <c r="D96" s="605" t="s">
        <v>437</v>
      </c>
      <c r="E96" s="491">
        <v>348.82</v>
      </c>
      <c r="F96" s="320">
        <f t="shared" si="0"/>
        <v>209.292</v>
      </c>
      <c r="G96" s="322">
        <f t="shared" si="1"/>
        <v>0</v>
      </c>
      <c r="H96" s="321">
        <f t="shared" si="10"/>
        <v>17.685174</v>
      </c>
      <c r="I96" s="343">
        <f t="shared" si="3"/>
        <v>0</v>
      </c>
      <c r="J96" s="344">
        <f t="shared" si="11"/>
        <v>6.6973440000000002</v>
      </c>
      <c r="K96" s="343">
        <f t="shared" si="5"/>
        <v>0</v>
      </c>
      <c r="L96" s="321">
        <f t="shared" si="12"/>
        <v>5.5043796</v>
      </c>
      <c r="M96" s="343">
        <f t="shared" si="7"/>
        <v>0</v>
      </c>
      <c r="N96" s="344">
        <f t="shared" si="13"/>
        <v>4.5834947999999995</v>
      </c>
      <c r="O96" s="343">
        <f t="shared" si="9"/>
        <v>0</v>
      </c>
      <c r="P96" s="596"/>
    </row>
    <row r="97" spans="1:16" ht="13.5" thickBot="1">
      <c r="A97" s="1165"/>
      <c r="B97" s="316"/>
      <c r="C97" s="604" t="s">
        <v>3880</v>
      </c>
      <c r="D97" s="517" t="s">
        <v>225</v>
      </c>
      <c r="E97" s="491">
        <v>132.68</v>
      </c>
      <c r="F97" s="320">
        <f t="shared" si="0"/>
        <v>79.608000000000004</v>
      </c>
      <c r="G97" s="322">
        <f t="shared" si="1"/>
        <v>0</v>
      </c>
      <c r="H97" s="321">
        <f t="shared" si="10"/>
        <v>6.7268760000000007</v>
      </c>
      <c r="I97" s="343">
        <f t="shared" si="3"/>
        <v>0</v>
      </c>
      <c r="J97" s="344">
        <f t="shared" si="11"/>
        <v>2.5474560000000004</v>
      </c>
      <c r="K97" s="343">
        <f t="shared" si="5"/>
        <v>0</v>
      </c>
      <c r="L97" s="321">
        <f t="shared" si="12"/>
        <v>2.0936904000000003</v>
      </c>
      <c r="M97" s="343">
        <f t="shared" si="7"/>
        <v>0</v>
      </c>
      <c r="N97" s="344">
        <f t="shared" si="13"/>
        <v>1.7434152000000001</v>
      </c>
      <c r="O97" s="343">
        <f t="shared" si="9"/>
        <v>0</v>
      </c>
      <c r="P97" s="596"/>
    </row>
    <row r="98" spans="1:16">
      <c r="D98" s="1166" t="s">
        <v>65</v>
      </c>
      <c r="E98" s="1088"/>
      <c r="F98" s="1088"/>
      <c r="G98" s="672">
        <f t="array" ref="G98">SUM(G46:G97)+G34:G46:G97+G38:G46:G97+G42</f>
        <v>0</v>
      </c>
      <c r="H98" s="557" t="s">
        <v>66</v>
      </c>
      <c r="I98" s="672">
        <f t="array" ref="I98">SUM(I46:I97)+I34:I46:I97+I38:I46:I97+I42</f>
        <v>0</v>
      </c>
      <c r="J98" s="557" t="s">
        <v>67</v>
      </c>
      <c r="K98" s="672">
        <f t="array" ref="K98">SUM(K46:K97)+K34:K46:K97+K38:K46:K97+K42</f>
        <v>0</v>
      </c>
      <c r="L98" s="557" t="s">
        <v>68</v>
      </c>
      <c r="M98" s="672">
        <f t="array" ref="M98">SUM(M46:M97)+M34:M46:M97+M38:M46:M97+M42</f>
        <v>0</v>
      </c>
      <c r="N98" s="557" t="s">
        <v>69</v>
      </c>
      <c r="O98" s="672">
        <f t="array" ref="O98">SUM(O46:O97)+O34:O46:O97+O38:O46:O97+O42</f>
        <v>0</v>
      </c>
    </row>
  </sheetData>
  <mergeCells count="59">
    <mergeCell ref="A4:O4"/>
    <mergeCell ref="A5:O5"/>
    <mergeCell ref="F8:I8"/>
    <mergeCell ref="A23:O23"/>
    <mergeCell ref="A24:D24"/>
    <mergeCell ref="E24:K24"/>
    <mergeCell ref="L24:O24"/>
    <mergeCell ref="A26:C26"/>
    <mergeCell ref="E26:H26"/>
    <mergeCell ref="I26:K26"/>
    <mergeCell ref="L26:M26"/>
    <mergeCell ref="N26:O26"/>
    <mergeCell ref="A25:C25"/>
    <mergeCell ref="E25:H25"/>
    <mergeCell ref="I25:K25"/>
    <mergeCell ref="L25:M25"/>
    <mergeCell ref="N25:O25"/>
    <mergeCell ref="N27:O27"/>
    <mergeCell ref="A28:C28"/>
    <mergeCell ref="E28:H28"/>
    <mergeCell ref="I28:K28"/>
    <mergeCell ref="L28:M28"/>
    <mergeCell ref="N28:O28"/>
    <mergeCell ref="A27:C27"/>
    <mergeCell ref="E27:H27"/>
    <mergeCell ref="I27:K27"/>
    <mergeCell ref="L27:M27"/>
    <mergeCell ref="A29:C29"/>
    <mergeCell ref="E29:H29"/>
    <mergeCell ref="I29:K29"/>
    <mergeCell ref="L29:M29"/>
    <mergeCell ref="N29:O29"/>
    <mergeCell ref="M38:M40"/>
    <mergeCell ref="F32:G32"/>
    <mergeCell ref="H32:O32"/>
    <mergeCell ref="A34:A36"/>
    <mergeCell ref="B34:B36"/>
    <mergeCell ref="G34:G36"/>
    <mergeCell ref="I34:I36"/>
    <mergeCell ref="K34:K36"/>
    <mergeCell ref="M34:M36"/>
    <mergeCell ref="O34:O36"/>
    <mergeCell ref="K38:K40"/>
    <mergeCell ref="F30:J30"/>
    <mergeCell ref="A45:O45"/>
    <mergeCell ref="A46:A97"/>
    <mergeCell ref="D98:F98"/>
    <mergeCell ref="O38:O40"/>
    <mergeCell ref="A42:A44"/>
    <mergeCell ref="B42:B44"/>
    <mergeCell ref="G42:G44"/>
    <mergeCell ref="I42:I44"/>
    <mergeCell ref="K42:K44"/>
    <mergeCell ref="M42:M44"/>
    <mergeCell ref="O42:O44"/>
    <mergeCell ref="A38:A40"/>
    <mergeCell ref="B38:B40"/>
    <mergeCell ref="G38:G40"/>
    <mergeCell ref="I38:I4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8191-FFA0-4D8B-9ABD-EBE16F3B09DD}">
  <sheetPr>
    <tabColor indexed="62"/>
  </sheetPr>
  <dimension ref="A1:P114"/>
  <sheetViews>
    <sheetView topLeftCell="A11" zoomScale="90" zoomScaleNormal="90" workbookViewId="0">
      <selection activeCell="E36" sqref="E36"/>
    </sheetView>
  </sheetViews>
  <sheetFormatPr defaultColWidth="8.85546875" defaultRowHeight="12.75"/>
  <cols>
    <col min="1" max="1" width="14.42578125" style="256" customWidth="1"/>
    <col min="2" max="2" width="9" style="256" customWidth="1"/>
    <col min="3" max="3" width="20.140625" style="549" bestFit="1" customWidth="1"/>
    <col min="4" max="4" width="60.5703125" style="256" customWidth="1"/>
    <col min="5" max="5" width="17.42578125" style="256" customWidth="1"/>
    <col min="6" max="6" width="16.5703125" style="333" customWidth="1"/>
    <col min="7" max="7" width="17.140625" style="256" customWidth="1"/>
    <col min="8" max="8" width="21.7109375" style="256" customWidth="1"/>
    <col min="9" max="9" width="15.28515625" style="256" customWidth="1"/>
    <col min="10" max="10" width="22" style="256" customWidth="1"/>
    <col min="11" max="11" width="17" style="256" customWidth="1"/>
    <col min="12" max="12" width="19.28515625" style="256" customWidth="1"/>
    <col min="13" max="13" width="17.28515625" style="256" customWidth="1"/>
    <col min="14" max="14" width="23.42578125" style="256" customWidth="1"/>
    <col min="15" max="15" width="18.140625" style="256" customWidth="1"/>
    <col min="16" max="16" width="12.42578125" style="256" customWidth="1"/>
    <col min="17" max="16384" width="8.85546875" style="256"/>
  </cols>
  <sheetData>
    <row r="1" spans="1:15" ht="13.5" thickBot="1">
      <c r="B1" s="259"/>
      <c r="C1" s="632"/>
      <c r="D1" s="258"/>
      <c r="E1" s="258"/>
      <c r="F1" s="259"/>
      <c r="G1" s="259"/>
      <c r="H1" s="259"/>
      <c r="I1" s="259"/>
      <c r="J1" s="259"/>
      <c r="K1" s="258"/>
      <c r="L1" s="259"/>
    </row>
    <row r="2" spans="1:15" ht="9" customHeight="1">
      <c r="A2" s="260"/>
      <c r="B2" s="264"/>
      <c r="C2" s="634"/>
      <c r="D2" s="262"/>
      <c r="E2" s="262"/>
      <c r="F2" s="263"/>
      <c r="G2" s="264"/>
      <c r="H2" s="263"/>
      <c r="I2" s="264"/>
      <c r="J2" s="264"/>
      <c r="K2" s="264"/>
      <c r="L2" s="264"/>
      <c r="M2" s="260"/>
      <c r="N2" s="260"/>
      <c r="O2" s="260"/>
    </row>
    <row r="3" spans="1:15" ht="10.5" customHeight="1">
      <c r="B3" s="265"/>
      <c r="C3" s="632"/>
      <c r="D3" s="258"/>
      <c r="E3" s="258"/>
      <c r="F3" s="259"/>
      <c r="G3" s="265"/>
      <c r="H3" s="259"/>
      <c r="I3" s="265"/>
      <c r="J3" s="265"/>
      <c r="K3" s="265"/>
      <c r="L3" s="265"/>
    </row>
    <row r="4" spans="1:15" ht="36" customHeight="1">
      <c r="A4" s="1043" t="s">
        <v>388</v>
      </c>
      <c r="B4" s="1020"/>
      <c r="C4" s="1020"/>
      <c r="D4" s="1020"/>
      <c r="E4" s="1020"/>
      <c r="F4" s="1020"/>
      <c r="G4" s="1020"/>
      <c r="H4" s="1020"/>
      <c r="I4" s="1020"/>
      <c r="J4" s="1020"/>
      <c r="K4" s="1020"/>
      <c r="L4" s="1020"/>
      <c r="M4" s="1020"/>
      <c r="N4" s="1020"/>
      <c r="O4" s="1020"/>
    </row>
    <row r="5" spans="1:15" s="266" customFormat="1" ht="42" customHeight="1">
      <c r="A5" s="1188" t="s">
        <v>357</v>
      </c>
      <c r="B5" s="1045"/>
      <c r="C5" s="1045"/>
      <c r="D5" s="1045"/>
      <c r="E5" s="1045"/>
      <c r="F5" s="1045"/>
      <c r="G5" s="1045"/>
      <c r="H5" s="1045"/>
      <c r="I5" s="1045"/>
      <c r="J5" s="1045"/>
      <c r="K5" s="1045"/>
      <c r="L5" s="1045"/>
      <c r="M5" s="1045"/>
      <c r="N5" s="1045"/>
      <c r="O5" s="1045"/>
    </row>
    <row r="6" spans="1:15" ht="12" customHeight="1" thickBot="1">
      <c r="A6" s="267"/>
      <c r="B6" s="267"/>
      <c r="C6" s="267"/>
      <c r="D6" s="267"/>
      <c r="E6" s="267"/>
      <c r="F6" s="267"/>
      <c r="G6" s="267"/>
      <c r="H6" s="267"/>
      <c r="I6" s="267"/>
      <c r="J6" s="267"/>
      <c r="K6" s="267"/>
      <c r="L6" s="267"/>
      <c r="M6" s="267"/>
      <c r="N6" s="267"/>
      <c r="O6" s="267"/>
    </row>
    <row r="8" spans="1:15" s="265" customFormat="1" ht="14.25">
      <c r="C8" s="282"/>
      <c r="E8" s="446"/>
      <c r="F8" s="1046" t="s">
        <v>0</v>
      </c>
      <c r="G8" s="1046"/>
      <c r="H8" s="1046"/>
      <c r="I8" s="507"/>
    </row>
    <row r="9" spans="1:15" s="265" customFormat="1" ht="14.25">
      <c r="C9" s="282"/>
      <c r="F9" s="275" t="s">
        <v>1</v>
      </c>
      <c r="G9" s="157" t="s">
        <v>179</v>
      </c>
    </row>
    <row r="10" spans="1:15" s="265" customFormat="1">
      <c r="B10" s="282"/>
      <c r="C10" s="282"/>
      <c r="E10" s="282"/>
      <c r="F10" s="270" t="s">
        <v>3</v>
      </c>
      <c r="G10" s="185" t="s">
        <v>228</v>
      </c>
      <c r="H10" s="282"/>
      <c r="I10" s="273"/>
      <c r="J10" s="282"/>
    </row>
    <row r="11" spans="1:15" s="265" customFormat="1" ht="12.75" customHeight="1">
      <c r="B11" s="548"/>
      <c r="C11" s="282"/>
      <c r="E11" s="548"/>
      <c r="F11" s="276" t="s">
        <v>7</v>
      </c>
      <c r="G11" s="495">
        <v>200000</v>
      </c>
      <c r="H11" s="548"/>
      <c r="J11" s="548"/>
    </row>
    <row r="12" spans="1:15" s="265" customFormat="1">
      <c r="B12" s="282"/>
      <c r="C12" s="282"/>
      <c r="E12" s="282"/>
      <c r="F12" s="270" t="s">
        <v>8</v>
      </c>
      <c r="G12" s="371" t="s">
        <v>389</v>
      </c>
      <c r="H12" s="282"/>
      <c r="J12" s="282"/>
    </row>
    <row r="13" spans="1:15" s="265" customFormat="1">
      <c r="C13" s="673"/>
      <c r="F13" s="270" t="s">
        <v>10</v>
      </c>
      <c r="G13" s="157" t="s">
        <v>182</v>
      </c>
    </row>
    <row r="14" spans="1:15" s="265" customFormat="1">
      <c r="C14" s="282"/>
      <c r="F14" s="270" t="s">
        <v>183</v>
      </c>
      <c r="G14" s="157" t="s">
        <v>390</v>
      </c>
    </row>
    <row r="15" spans="1:15" s="265" customFormat="1">
      <c r="C15" s="282"/>
      <c r="F15" s="270" t="s">
        <v>185</v>
      </c>
      <c r="G15" s="157" t="s">
        <v>391</v>
      </c>
    </row>
    <row r="16" spans="1:15" s="265" customFormat="1">
      <c r="C16" s="282"/>
      <c r="F16" s="270" t="s">
        <v>14</v>
      </c>
      <c r="G16" s="157" t="s">
        <v>15</v>
      </c>
    </row>
    <row r="17" spans="1:15" s="265" customFormat="1">
      <c r="C17" s="282"/>
      <c r="F17" s="270"/>
      <c r="G17" s="157" t="s">
        <v>187</v>
      </c>
    </row>
    <row r="18" spans="1:15" s="265" customFormat="1">
      <c r="C18" s="282"/>
      <c r="F18" s="270"/>
      <c r="G18" s="157" t="s">
        <v>188</v>
      </c>
    </row>
    <row r="19" spans="1:15" s="265" customFormat="1">
      <c r="C19" s="282"/>
      <c r="F19" s="270" t="s">
        <v>16</v>
      </c>
      <c r="G19" s="157" t="s">
        <v>232</v>
      </c>
    </row>
    <row r="20" spans="1:15" s="265" customFormat="1">
      <c r="C20" s="282"/>
      <c r="F20" s="270" t="s">
        <v>18</v>
      </c>
      <c r="G20" s="157" t="s">
        <v>190</v>
      </c>
    </row>
    <row r="21" spans="1:15" s="265" customFormat="1">
      <c r="B21" s="282"/>
      <c r="C21" s="282"/>
      <c r="E21" s="282"/>
      <c r="F21" s="270" t="s">
        <v>20</v>
      </c>
      <c r="G21" s="185" t="s">
        <v>233</v>
      </c>
      <c r="H21" s="282"/>
      <c r="J21" s="282"/>
    </row>
    <row r="22" spans="1:15" s="265" customFormat="1" ht="12" customHeight="1">
      <c r="C22" s="282"/>
      <c r="F22" s="270" t="s">
        <v>22</v>
      </c>
      <c r="G22" s="157" t="s">
        <v>234</v>
      </c>
    </row>
    <row r="23" spans="1:15" s="265" customFormat="1" ht="15.75" customHeight="1">
      <c r="C23" s="282"/>
      <c r="D23" s="1047"/>
      <c r="F23" s="270" t="s">
        <v>24</v>
      </c>
      <c r="G23" s="157" t="s">
        <v>392</v>
      </c>
      <c r="I23" s="674"/>
    </row>
    <row r="24" spans="1:15" s="265" customFormat="1" ht="12.75" customHeight="1">
      <c r="C24" s="282"/>
      <c r="D24" s="1047"/>
      <c r="F24" s="270" t="s">
        <v>26</v>
      </c>
      <c r="G24" s="157" t="s">
        <v>362</v>
      </c>
    </row>
    <row r="25" spans="1:15" s="265" customFormat="1" ht="12.75" customHeight="1">
      <c r="C25" s="282"/>
      <c r="D25" s="277"/>
      <c r="F25" s="270" t="s">
        <v>28</v>
      </c>
      <c r="G25" s="157" t="s">
        <v>363</v>
      </c>
    </row>
    <row r="26" spans="1:15" s="265" customFormat="1" ht="15" thickBot="1">
      <c r="A26" s="1111" t="s">
        <v>30</v>
      </c>
      <c r="B26" s="1167"/>
      <c r="C26" s="1167"/>
      <c r="D26" s="1167"/>
      <c r="E26" s="1167"/>
      <c r="F26" s="1167"/>
      <c r="G26" s="1167"/>
      <c r="H26" s="1167"/>
      <c r="I26" s="1167"/>
      <c r="J26" s="1167"/>
      <c r="K26" s="1167"/>
      <c r="L26" s="1167"/>
      <c r="M26" s="1167"/>
      <c r="N26" s="1167"/>
      <c r="O26" s="1167"/>
    </row>
    <row r="27" spans="1:15" s="265" customFormat="1" ht="14.25">
      <c r="A27" s="1105" t="s">
        <v>393</v>
      </c>
      <c r="B27" s="1106"/>
      <c r="C27" s="1106"/>
      <c r="D27" s="1107"/>
      <c r="E27" s="1108" t="s">
        <v>394</v>
      </c>
      <c r="F27" s="1168"/>
      <c r="G27" s="1168"/>
      <c r="H27" s="1168"/>
      <c r="I27" s="1168"/>
      <c r="J27" s="1169"/>
      <c r="K27" s="1105" t="s">
        <v>395</v>
      </c>
      <c r="L27" s="1106"/>
      <c r="M27" s="1106"/>
      <c r="N27" s="1106"/>
      <c r="O27" s="1107"/>
    </row>
    <row r="28" spans="1:15" s="265" customFormat="1" ht="12.75" customHeight="1">
      <c r="A28" s="1028" t="s">
        <v>33</v>
      </c>
      <c r="B28" s="1029"/>
      <c r="C28" s="1029"/>
      <c r="D28" s="279" t="s">
        <v>34</v>
      </c>
      <c r="E28" s="1028" t="s">
        <v>33</v>
      </c>
      <c r="F28" s="1029"/>
      <c r="G28" s="1029"/>
      <c r="H28" s="1029"/>
      <c r="I28" s="1093" t="s">
        <v>35</v>
      </c>
      <c r="J28" s="1117"/>
      <c r="K28" s="1028" t="s">
        <v>33</v>
      </c>
      <c r="L28" s="1029"/>
      <c r="M28" s="1029"/>
      <c r="N28" s="1095" t="s">
        <v>35</v>
      </c>
      <c r="O28" s="1096"/>
    </row>
    <row r="29" spans="1:15" s="265" customFormat="1" ht="12.75" customHeight="1">
      <c r="A29" s="1028" t="s">
        <v>199</v>
      </c>
      <c r="B29" s="1029"/>
      <c r="C29" s="1029"/>
      <c r="D29" s="280">
        <v>0</v>
      </c>
      <c r="E29" s="1028" t="s">
        <v>199</v>
      </c>
      <c r="F29" s="1029"/>
      <c r="G29" s="1029"/>
      <c r="H29" s="1029"/>
      <c r="I29" s="1102">
        <v>900</v>
      </c>
      <c r="J29" s="1170"/>
      <c r="K29" s="1028" t="s">
        <v>199</v>
      </c>
      <c r="L29" s="1029"/>
      <c r="M29" s="1029"/>
      <c r="N29" s="1103">
        <v>1350</v>
      </c>
      <c r="O29" s="1104"/>
    </row>
    <row r="30" spans="1:15" s="265" customFormat="1" ht="12.75" customHeight="1">
      <c r="A30" s="1028" t="s">
        <v>37</v>
      </c>
      <c r="B30" s="1029"/>
      <c r="C30" s="1029"/>
      <c r="D30" s="279" t="s">
        <v>38</v>
      </c>
      <c r="E30" s="1028" t="s">
        <v>37</v>
      </c>
      <c r="F30" s="1029"/>
      <c r="G30" s="1029"/>
      <c r="H30" s="1029"/>
      <c r="I30" s="1093" t="s">
        <v>396</v>
      </c>
      <c r="J30" s="1117"/>
      <c r="K30" s="1028" t="s">
        <v>37</v>
      </c>
      <c r="L30" s="1029"/>
      <c r="M30" s="1029"/>
      <c r="N30" s="1095" t="s">
        <v>397</v>
      </c>
      <c r="O30" s="1096"/>
    </row>
    <row r="31" spans="1:15" s="265" customFormat="1" ht="12.75" customHeight="1" thickBot="1">
      <c r="A31" s="1031" t="s">
        <v>202</v>
      </c>
      <c r="B31" s="1032"/>
      <c r="C31" s="1032"/>
      <c r="D31" s="281" t="s">
        <v>398</v>
      </c>
      <c r="E31" s="1031" t="s">
        <v>204</v>
      </c>
      <c r="F31" s="1032"/>
      <c r="G31" s="1032"/>
      <c r="H31" s="1032"/>
      <c r="I31" s="1097" t="s">
        <v>205</v>
      </c>
      <c r="J31" s="1116"/>
      <c r="K31" s="1031" t="s">
        <v>40</v>
      </c>
      <c r="L31" s="1032"/>
      <c r="M31" s="1032"/>
      <c r="N31" s="1099" t="s">
        <v>399</v>
      </c>
      <c r="O31" s="1100"/>
    </row>
    <row r="32" spans="1:15" s="265" customFormat="1" ht="12.75" customHeight="1">
      <c r="C32" s="282"/>
      <c r="D32" s="277"/>
      <c r="E32" s="277"/>
      <c r="F32" s="283"/>
      <c r="G32" s="283"/>
      <c r="H32" s="283"/>
      <c r="I32" s="1059"/>
      <c r="J32" s="1059"/>
      <c r="K32" s="1059"/>
    </row>
    <row r="33" spans="1:16" s="265" customFormat="1" ht="13.5" customHeight="1" thickBot="1">
      <c r="B33" s="288"/>
      <c r="C33" s="282"/>
      <c r="D33" s="277"/>
      <c r="E33" s="277"/>
      <c r="F33" s="283"/>
      <c r="G33" s="288"/>
      <c r="I33" s="288"/>
      <c r="J33" s="288"/>
      <c r="K33" s="288"/>
      <c r="L33" s="288"/>
    </row>
    <row r="34" spans="1:16" s="265" customFormat="1" ht="15.75" customHeight="1" thickBot="1">
      <c r="C34" s="282"/>
      <c r="F34" s="1063" t="s">
        <v>43</v>
      </c>
      <c r="G34" s="1022"/>
      <c r="H34" s="1023" t="s">
        <v>44</v>
      </c>
      <c r="I34" s="1003"/>
      <c r="J34" s="1003"/>
      <c r="K34" s="1003"/>
      <c r="L34" s="1003"/>
      <c r="M34" s="1003"/>
      <c r="N34" s="1003"/>
      <c r="O34" s="1025"/>
      <c r="P34" s="256"/>
    </row>
    <row r="35" spans="1:16" s="291" customFormat="1" ht="62.25" customHeight="1" thickBot="1">
      <c r="A35" s="289" t="s">
        <v>45</v>
      </c>
      <c r="B35" s="289" t="s">
        <v>46</v>
      </c>
      <c r="C35" s="675" t="s">
        <v>47</v>
      </c>
      <c r="D35" s="290" t="s">
        <v>48</v>
      </c>
      <c r="E35" s="290" t="s">
        <v>49</v>
      </c>
      <c r="F35" s="290" t="s">
        <v>50</v>
      </c>
      <c r="G35" s="289" t="s">
        <v>51</v>
      </c>
      <c r="H35" s="290" t="s">
        <v>52</v>
      </c>
      <c r="I35" s="289" t="s">
        <v>51</v>
      </c>
      <c r="J35" s="290" t="s">
        <v>53</v>
      </c>
      <c r="K35" s="289" t="s">
        <v>51</v>
      </c>
      <c r="L35" s="290" t="s">
        <v>54</v>
      </c>
      <c r="M35" s="289" t="s">
        <v>51</v>
      </c>
      <c r="N35" s="290" t="s">
        <v>55</v>
      </c>
      <c r="O35" s="289" t="s">
        <v>51</v>
      </c>
    </row>
    <row r="36" spans="1:16" s="296" customFormat="1" ht="29.25" customHeight="1" thickBot="1">
      <c r="A36" s="1089">
        <v>14</v>
      </c>
      <c r="B36" s="1184"/>
      <c r="C36" s="676" t="s">
        <v>400</v>
      </c>
      <c r="D36" s="677" t="s">
        <v>401</v>
      </c>
      <c r="E36" s="678">
        <v>28390.95</v>
      </c>
      <c r="F36" s="679">
        <f>SUM(E36:E38)*(1-83%)</f>
        <v>4887.1515000000009</v>
      </c>
      <c r="G36" s="1187">
        <f>F36*B36</f>
        <v>0</v>
      </c>
      <c r="H36" s="680">
        <f>F36*0.0845</f>
        <v>412.96430175000012</v>
      </c>
      <c r="I36" s="1187">
        <f>H36*B36</f>
        <v>0</v>
      </c>
      <c r="J36" s="680">
        <f>F36*0.032</f>
        <v>156.38884800000002</v>
      </c>
      <c r="K36" s="1187">
        <f>J36*B36</f>
        <v>0</v>
      </c>
      <c r="L36" s="295">
        <f>F36*0.0263</f>
        <v>128.53208445000001</v>
      </c>
      <c r="M36" s="1026">
        <f>L36*B36</f>
        <v>0</v>
      </c>
      <c r="N36" s="295">
        <f>F36*0.0219</f>
        <v>107.02861785000002</v>
      </c>
      <c r="O36" s="1026">
        <f>N36*B36</f>
        <v>0</v>
      </c>
    </row>
    <row r="37" spans="1:16" s="291" customFormat="1" ht="13.5" thickBot="1">
      <c r="A37" s="1090"/>
      <c r="B37" s="1172"/>
      <c r="C37" s="681" t="s">
        <v>307</v>
      </c>
      <c r="D37" s="682" t="s">
        <v>240</v>
      </c>
      <c r="E37" s="320">
        <v>282</v>
      </c>
      <c r="F37" s="683" t="s">
        <v>35</v>
      </c>
      <c r="G37" s="1182"/>
      <c r="H37" s="683" t="s">
        <v>35</v>
      </c>
      <c r="I37" s="1182"/>
      <c r="J37" s="683" t="s">
        <v>35</v>
      </c>
      <c r="K37" s="1182"/>
      <c r="L37" s="301" t="s">
        <v>35</v>
      </c>
      <c r="M37" s="1119"/>
      <c r="N37" s="301" t="s">
        <v>35</v>
      </c>
      <c r="O37" s="1119"/>
    </row>
    <row r="38" spans="1:16" s="291" customFormat="1" ht="13.5" thickBot="1">
      <c r="A38" s="1091"/>
      <c r="B38" s="1172"/>
      <c r="C38" s="303" t="s">
        <v>56</v>
      </c>
      <c r="D38" s="684" t="s">
        <v>57</v>
      </c>
      <c r="E38" s="685">
        <v>75</v>
      </c>
      <c r="F38" s="686" t="s">
        <v>35</v>
      </c>
      <c r="G38" s="1182"/>
      <c r="H38" s="686" t="s">
        <v>35</v>
      </c>
      <c r="I38" s="1182"/>
      <c r="J38" s="686" t="s">
        <v>35</v>
      </c>
      <c r="K38" s="1182"/>
      <c r="L38" s="301" t="s">
        <v>35</v>
      </c>
      <c r="M38" s="1017"/>
      <c r="N38" s="301" t="s">
        <v>35</v>
      </c>
      <c r="O38" s="1017"/>
    </row>
    <row r="39" spans="1:16" s="291" customFormat="1" ht="13.5" thickBot="1">
      <c r="A39" s="687"/>
      <c r="B39" s="545"/>
      <c r="C39" s="309"/>
      <c r="D39" s="537"/>
      <c r="E39" s="564"/>
      <c r="F39" s="688"/>
      <c r="G39" s="537"/>
      <c r="H39" s="688"/>
      <c r="I39" s="537"/>
      <c r="J39" s="688"/>
      <c r="K39" s="546"/>
      <c r="L39" s="314"/>
      <c r="M39" s="308"/>
      <c r="N39" s="314"/>
      <c r="O39" s="313"/>
    </row>
    <row r="40" spans="1:16" s="296" customFormat="1" ht="29.25" customHeight="1" thickBot="1">
      <c r="A40" s="1089" t="s">
        <v>402</v>
      </c>
      <c r="B40" s="1184"/>
      <c r="C40" s="676" t="s">
        <v>400</v>
      </c>
      <c r="D40" s="677" t="s">
        <v>401</v>
      </c>
      <c r="E40" s="678">
        <v>28390.95</v>
      </c>
      <c r="F40" s="689">
        <f>SUM(E40:E42)*(1-83%)</f>
        <v>4887.1515000000009</v>
      </c>
      <c r="G40" s="1185">
        <f>F40*B40</f>
        <v>0</v>
      </c>
      <c r="H40" s="690">
        <f>F40*0.0845+I29/12</f>
        <v>487.96430175000012</v>
      </c>
      <c r="I40" s="1185">
        <f>H40*B40</f>
        <v>0</v>
      </c>
      <c r="J40" s="690">
        <f>F40*0.032+I29/12</f>
        <v>231.38884800000002</v>
      </c>
      <c r="K40" s="1185">
        <f>J40*B40</f>
        <v>0</v>
      </c>
      <c r="L40" s="30">
        <f>F40*0.0263+I29/12</f>
        <v>203.53208445000001</v>
      </c>
      <c r="M40" s="1011">
        <f>L40*B40</f>
        <v>0</v>
      </c>
      <c r="N40" s="30">
        <f>F40*0.0219+I29/12</f>
        <v>182.02861785000002</v>
      </c>
      <c r="O40" s="1011">
        <f>N40*B40</f>
        <v>0</v>
      </c>
    </row>
    <row r="41" spans="1:16" s="291" customFormat="1" ht="13.5" thickBot="1">
      <c r="A41" s="1090"/>
      <c r="B41" s="1172"/>
      <c r="C41" s="681" t="s">
        <v>307</v>
      </c>
      <c r="D41" s="682" t="s">
        <v>240</v>
      </c>
      <c r="E41" s="320">
        <v>282</v>
      </c>
      <c r="F41" s="683" t="s">
        <v>35</v>
      </c>
      <c r="G41" s="1186"/>
      <c r="H41" s="691" t="s">
        <v>35</v>
      </c>
      <c r="I41" s="1186"/>
      <c r="J41" s="691" t="s">
        <v>35</v>
      </c>
      <c r="K41" s="1186"/>
      <c r="L41" s="32" t="s">
        <v>35</v>
      </c>
      <c r="M41" s="1084"/>
      <c r="N41" s="32" t="s">
        <v>35</v>
      </c>
      <c r="O41" s="1084"/>
    </row>
    <row r="42" spans="1:16" s="291" customFormat="1" ht="13.5" thickBot="1">
      <c r="A42" s="1091"/>
      <c r="B42" s="1172"/>
      <c r="C42" s="303" t="s">
        <v>56</v>
      </c>
      <c r="D42" s="684" t="s">
        <v>57</v>
      </c>
      <c r="E42" s="685">
        <v>75</v>
      </c>
      <c r="F42" s="692" t="s">
        <v>35</v>
      </c>
      <c r="G42" s="1182"/>
      <c r="H42" s="686" t="s">
        <v>35</v>
      </c>
      <c r="I42" s="1182"/>
      <c r="J42" s="686" t="s">
        <v>35</v>
      </c>
      <c r="K42" s="1182"/>
      <c r="L42" s="301" t="s">
        <v>35</v>
      </c>
      <c r="M42" s="1017"/>
      <c r="N42" s="301" t="s">
        <v>35</v>
      </c>
      <c r="O42" s="1017"/>
    </row>
    <row r="43" spans="1:16" s="291" customFormat="1" ht="13.5" thickBot="1">
      <c r="A43" s="687"/>
      <c r="B43" s="545"/>
      <c r="C43" s="309"/>
      <c r="D43" s="537"/>
      <c r="E43" s="564"/>
      <c r="F43" s="693"/>
      <c r="G43" s="538"/>
      <c r="H43" s="693"/>
      <c r="I43" s="538"/>
      <c r="J43" s="693"/>
      <c r="K43" s="539"/>
      <c r="L43" s="36"/>
      <c r="M43" s="34"/>
      <c r="N43" s="36"/>
      <c r="O43" s="35"/>
    </row>
    <row r="44" spans="1:16" s="296" customFormat="1" ht="29.25" customHeight="1" thickBot="1">
      <c r="A44" s="1089" t="s">
        <v>403</v>
      </c>
      <c r="B44" s="1184"/>
      <c r="C44" s="676" t="s">
        <v>400</v>
      </c>
      <c r="D44" s="677" t="s">
        <v>401</v>
      </c>
      <c r="E44" s="678">
        <v>28390.95</v>
      </c>
      <c r="F44" s="679">
        <f>SUM(E44:E46)*(1-83%)</f>
        <v>4887.1515000000009</v>
      </c>
      <c r="G44" s="1185">
        <f>F44*B44</f>
        <v>0</v>
      </c>
      <c r="H44" s="690">
        <f>F44*0.0845+N29/12</f>
        <v>525.46430175000012</v>
      </c>
      <c r="I44" s="1185">
        <f>H44*B44</f>
        <v>0</v>
      </c>
      <c r="J44" s="690">
        <f>F44*0.032+N29/12</f>
        <v>268.88884800000005</v>
      </c>
      <c r="K44" s="1185">
        <f>J44*B44</f>
        <v>0</v>
      </c>
      <c r="L44" s="30">
        <f>F44*0.0263+N29/12</f>
        <v>241.03208445000001</v>
      </c>
      <c r="M44" s="1011">
        <f>L44*B44</f>
        <v>0</v>
      </c>
      <c r="N44" s="30">
        <f>F44*0.0219+N29/12</f>
        <v>219.52861785000002</v>
      </c>
      <c r="O44" s="1011">
        <f>N44*B44</f>
        <v>0</v>
      </c>
    </row>
    <row r="45" spans="1:16" s="291" customFormat="1" ht="13.5" thickBot="1">
      <c r="A45" s="1090"/>
      <c r="B45" s="1172"/>
      <c r="C45" s="681" t="s">
        <v>307</v>
      </c>
      <c r="D45" s="682" t="s">
        <v>240</v>
      </c>
      <c r="E45" s="320">
        <v>282</v>
      </c>
      <c r="F45" s="683" t="s">
        <v>35</v>
      </c>
      <c r="G45" s="1182"/>
      <c r="H45" s="683" t="s">
        <v>35</v>
      </c>
      <c r="I45" s="1182"/>
      <c r="J45" s="683" t="s">
        <v>35</v>
      </c>
      <c r="K45" s="1182"/>
      <c r="L45" s="301" t="s">
        <v>35</v>
      </c>
      <c r="M45" s="1119"/>
      <c r="N45" s="301" t="s">
        <v>35</v>
      </c>
      <c r="O45" s="1119"/>
    </row>
    <row r="46" spans="1:16" s="291" customFormat="1" ht="13.5" thickBot="1">
      <c r="A46" s="1091"/>
      <c r="B46" s="1172"/>
      <c r="C46" s="303" t="s">
        <v>56</v>
      </c>
      <c r="D46" s="684" t="s">
        <v>57</v>
      </c>
      <c r="E46" s="685">
        <v>75</v>
      </c>
      <c r="F46" s="692" t="s">
        <v>35</v>
      </c>
      <c r="G46" s="1186"/>
      <c r="H46" s="692" t="s">
        <v>35</v>
      </c>
      <c r="I46" s="1186"/>
      <c r="J46" s="692" t="s">
        <v>35</v>
      </c>
      <c r="K46" s="1186"/>
      <c r="L46" s="608" t="s">
        <v>35</v>
      </c>
      <c r="M46" s="1084"/>
      <c r="N46" s="608" t="s">
        <v>35</v>
      </c>
      <c r="O46" s="1084"/>
    </row>
    <row r="47" spans="1:16" s="519" customFormat="1" ht="13.5" customHeight="1" thickBot="1">
      <c r="A47" s="1002" t="s">
        <v>59</v>
      </c>
      <c r="B47" s="1003"/>
      <c r="C47" s="1003"/>
      <c r="D47" s="1003"/>
      <c r="E47" s="1003"/>
      <c r="F47" s="1004"/>
      <c r="G47" s="1004"/>
      <c r="H47" s="1004"/>
      <c r="I47" s="1004"/>
      <c r="J47" s="1004"/>
      <c r="K47" s="1004"/>
      <c r="L47" s="1004"/>
      <c r="M47" s="1004"/>
      <c r="N47" s="1004"/>
      <c r="O47" s="1005"/>
    </row>
    <row r="48" spans="1:16" s="291" customFormat="1" ht="29.25" customHeight="1" thickBot="1">
      <c r="A48" s="1171"/>
      <c r="B48" s="694"/>
      <c r="C48" s="651" t="s">
        <v>103</v>
      </c>
      <c r="D48" s="298" t="s">
        <v>104</v>
      </c>
      <c r="E48" s="491">
        <v>129.99</v>
      </c>
      <c r="F48" s="491">
        <f t="shared" ref="F48:F98" si="0">E48*(1-40%)</f>
        <v>77.994</v>
      </c>
      <c r="G48" s="567">
        <f t="shared" ref="G48:G82" si="1">F48*B48</f>
        <v>0</v>
      </c>
      <c r="H48" s="567">
        <f t="shared" ref="H48:H78" si="2">F48*0.0845</f>
        <v>6.5904930000000004</v>
      </c>
      <c r="I48" s="567">
        <f t="shared" ref="I48:I82" si="3">H48*B48</f>
        <v>0</v>
      </c>
      <c r="J48" s="567">
        <f t="shared" ref="J48:J78" si="4">F48*0.032</f>
        <v>2.4958080000000002</v>
      </c>
      <c r="K48" s="567">
        <f t="shared" ref="K48:K82" si="5">J48*B48</f>
        <v>0</v>
      </c>
      <c r="L48" s="567">
        <f t="shared" ref="L48:L78" si="6">F48*0.0263</f>
        <v>2.0512421999999999</v>
      </c>
      <c r="M48" s="567">
        <f t="shared" ref="M48:M82" si="7">L48*B48</f>
        <v>0</v>
      </c>
      <c r="N48" s="567">
        <f t="shared" ref="N48:N78" si="8">F48*0.0219</f>
        <v>1.7080686</v>
      </c>
      <c r="O48" s="567">
        <f t="shared" ref="O48:O82" si="9">N48*B48</f>
        <v>0</v>
      </c>
      <c r="P48" s="568"/>
    </row>
    <row r="49" spans="1:16" s="291" customFormat="1" ht="13.5" thickBot="1">
      <c r="A49" s="1182"/>
      <c r="B49" s="695"/>
      <c r="C49" s="297" t="s">
        <v>105</v>
      </c>
      <c r="D49" s="298" t="s">
        <v>325</v>
      </c>
      <c r="E49" s="491">
        <v>399</v>
      </c>
      <c r="F49" s="491">
        <f t="shared" si="0"/>
        <v>239.39999999999998</v>
      </c>
      <c r="G49" s="566">
        <f t="shared" si="1"/>
        <v>0</v>
      </c>
      <c r="H49" s="567">
        <f t="shared" si="2"/>
        <v>20.229299999999999</v>
      </c>
      <c r="I49" s="567">
        <f t="shared" si="3"/>
        <v>0</v>
      </c>
      <c r="J49" s="567">
        <f t="shared" si="4"/>
        <v>7.6607999999999992</v>
      </c>
      <c r="K49" s="567">
        <f t="shared" si="5"/>
        <v>0</v>
      </c>
      <c r="L49" s="567">
        <f t="shared" si="6"/>
        <v>6.2962199999999999</v>
      </c>
      <c r="M49" s="567">
        <f t="shared" si="7"/>
        <v>0</v>
      </c>
      <c r="N49" s="567">
        <f t="shared" si="8"/>
        <v>5.2428599999999994</v>
      </c>
      <c r="O49" s="567">
        <f t="shared" si="9"/>
        <v>0</v>
      </c>
      <c r="P49" s="568"/>
    </row>
    <row r="50" spans="1:16" s="291" customFormat="1" ht="13.5" thickBot="1">
      <c r="A50" s="1182"/>
      <c r="B50" s="695"/>
      <c r="C50" s="492" t="s">
        <v>107</v>
      </c>
      <c r="D50" s="494" t="s">
        <v>108</v>
      </c>
      <c r="E50" s="394">
        <v>250</v>
      </c>
      <c r="F50" s="491">
        <f t="shared" si="0"/>
        <v>150</v>
      </c>
      <c r="G50" s="566">
        <f t="shared" si="1"/>
        <v>0</v>
      </c>
      <c r="H50" s="567">
        <f t="shared" si="2"/>
        <v>12.675000000000001</v>
      </c>
      <c r="I50" s="567">
        <f t="shared" si="3"/>
        <v>0</v>
      </c>
      <c r="J50" s="567">
        <f t="shared" si="4"/>
        <v>4.8</v>
      </c>
      <c r="K50" s="567">
        <f t="shared" si="5"/>
        <v>0</v>
      </c>
      <c r="L50" s="567">
        <f t="shared" si="6"/>
        <v>3.9450000000000003</v>
      </c>
      <c r="M50" s="567">
        <f t="shared" si="7"/>
        <v>0</v>
      </c>
      <c r="N50" s="567">
        <f t="shared" si="8"/>
        <v>3.2849999999999997</v>
      </c>
      <c r="O50" s="567">
        <f t="shared" si="9"/>
        <v>0</v>
      </c>
      <c r="P50" s="568"/>
    </row>
    <row r="51" spans="1:16" s="291" customFormat="1" ht="13.5" thickBot="1">
      <c r="A51" s="1182"/>
      <c r="B51" s="319"/>
      <c r="C51" s="651" t="s">
        <v>109</v>
      </c>
      <c r="D51" s="696" t="s">
        <v>110</v>
      </c>
      <c r="E51" s="491">
        <v>400</v>
      </c>
      <c r="F51" s="491">
        <f t="shared" si="0"/>
        <v>240</v>
      </c>
      <c r="G51" s="566">
        <f t="shared" si="1"/>
        <v>0</v>
      </c>
      <c r="H51" s="567">
        <f t="shared" si="2"/>
        <v>20.28</v>
      </c>
      <c r="I51" s="567">
        <f t="shared" si="3"/>
        <v>0</v>
      </c>
      <c r="J51" s="567">
        <f t="shared" si="4"/>
        <v>7.68</v>
      </c>
      <c r="K51" s="567">
        <f t="shared" si="5"/>
        <v>0</v>
      </c>
      <c r="L51" s="567">
        <f t="shared" si="6"/>
        <v>6.3120000000000003</v>
      </c>
      <c r="M51" s="567">
        <f t="shared" si="7"/>
        <v>0</v>
      </c>
      <c r="N51" s="567">
        <f t="shared" si="8"/>
        <v>5.2560000000000002</v>
      </c>
      <c r="O51" s="567">
        <f t="shared" si="9"/>
        <v>0</v>
      </c>
      <c r="P51" s="568"/>
    </row>
    <row r="52" spans="1:16" s="291" customFormat="1" ht="13.5" thickBot="1">
      <c r="A52" s="1182"/>
      <c r="B52" s="695"/>
      <c r="C52" s="297" t="s">
        <v>111</v>
      </c>
      <c r="D52" s="298" t="s">
        <v>112</v>
      </c>
      <c r="E52" s="491">
        <v>499</v>
      </c>
      <c r="F52" s="491">
        <f t="shared" si="0"/>
        <v>299.39999999999998</v>
      </c>
      <c r="G52" s="566">
        <f t="shared" si="1"/>
        <v>0</v>
      </c>
      <c r="H52" s="567">
        <f t="shared" si="2"/>
        <v>25.299299999999999</v>
      </c>
      <c r="I52" s="567">
        <f t="shared" si="3"/>
        <v>0</v>
      </c>
      <c r="J52" s="567">
        <f t="shared" si="4"/>
        <v>9.5808</v>
      </c>
      <c r="K52" s="567">
        <f t="shared" si="5"/>
        <v>0</v>
      </c>
      <c r="L52" s="567">
        <f t="shared" si="6"/>
        <v>7.8742199999999993</v>
      </c>
      <c r="M52" s="567">
        <f t="shared" si="7"/>
        <v>0</v>
      </c>
      <c r="N52" s="567">
        <f t="shared" si="8"/>
        <v>6.5568599999999995</v>
      </c>
      <c r="O52" s="567">
        <f t="shared" si="9"/>
        <v>0</v>
      </c>
      <c r="P52" s="568"/>
    </row>
    <row r="53" spans="1:16" s="291" customFormat="1" ht="13.5" thickBot="1">
      <c r="A53" s="1182"/>
      <c r="B53" s="695"/>
      <c r="C53" s="297" t="s">
        <v>77</v>
      </c>
      <c r="D53" s="298" t="s">
        <v>78</v>
      </c>
      <c r="E53" s="491">
        <v>329</v>
      </c>
      <c r="F53" s="491">
        <f t="shared" si="0"/>
        <v>197.4</v>
      </c>
      <c r="G53" s="566">
        <f t="shared" si="1"/>
        <v>0</v>
      </c>
      <c r="H53" s="567">
        <f t="shared" si="2"/>
        <v>16.680300000000003</v>
      </c>
      <c r="I53" s="567">
        <f t="shared" si="3"/>
        <v>0</v>
      </c>
      <c r="J53" s="567">
        <f t="shared" si="4"/>
        <v>6.3168000000000006</v>
      </c>
      <c r="K53" s="567">
        <f t="shared" si="5"/>
        <v>0</v>
      </c>
      <c r="L53" s="567">
        <f t="shared" si="6"/>
        <v>5.1916200000000003</v>
      </c>
      <c r="M53" s="567">
        <f t="shared" si="7"/>
        <v>0</v>
      </c>
      <c r="N53" s="567">
        <f t="shared" si="8"/>
        <v>4.3230599999999999</v>
      </c>
      <c r="O53" s="567">
        <f t="shared" si="9"/>
        <v>0</v>
      </c>
      <c r="P53" s="568"/>
    </row>
    <row r="54" spans="1:16" s="291" customFormat="1" ht="13.5" thickBot="1">
      <c r="A54" s="1182"/>
      <c r="B54" s="695"/>
      <c r="C54" s="297" t="s">
        <v>241</v>
      </c>
      <c r="D54" s="298" t="s">
        <v>3922</v>
      </c>
      <c r="E54" s="491">
        <v>235.4</v>
      </c>
      <c r="F54" s="491">
        <f t="shared" si="0"/>
        <v>141.24</v>
      </c>
      <c r="G54" s="566">
        <f t="shared" si="1"/>
        <v>0</v>
      </c>
      <c r="H54" s="567">
        <f t="shared" si="2"/>
        <v>11.934780000000002</v>
      </c>
      <c r="I54" s="567">
        <f t="shared" si="3"/>
        <v>0</v>
      </c>
      <c r="J54" s="567">
        <f t="shared" si="4"/>
        <v>4.5196800000000001</v>
      </c>
      <c r="K54" s="567">
        <f t="shared" si="5"/>
        <v>0</v>
      </c>
      <c r="L54" s="567">
        <f t="shared" si="6"/>
        <v>3.7146120000000002</v>
      </c>
      <c r="M54" s="567">
        <f t="shared" si="7"/>
        <v>0</v>
      </c>
      <c r="N54" s="567">
        <f t="shared" si="8"/>
        <v>3.093156</v>
      </c>
      <c r="O54" s="567">
        <f t="shared" si="9"/>
        <v>0</v>
      </c>
      <c r="P54" s="568"/>
    </row>
    <row r="55" spans="1:16" s="291" customFormat="1" ht="13.5" thickBot="1">
      <c r="A55" s="1182"/>
      <c r="B55" s="695"/>
      <c r="C55" s="297" t="s">
        <v>242</v>
      </c>
      <c r="D55" s="298" t="s">
        <v>3854</v>
      </c>
      <c r="E55" s="491">
        <v>328.49</v>
      </c>
      <c r="F55" s="491">
        <f t="shared" si="0"/>
        <v>197.09399999999999</v>
      </c>
      <c r="G55" s="566">
        <f t="shared" si="1"/>
        <v>0</v>
      </c>
      <c r="H55" s="567">
        <f t="shared" si="2"/>
        <v>16.654443000000001</v>
      </c>
      <c r="I55" s="567">
        <f t="shared" si="3"/>
        <v>0</v>
      </c>
      <c r="J55" s="567">
        <f t="shared" si="4"/>
        <v>6.3070079999999997</v>
      </c>
      <c r="K55" s="567">
        <f t="shared" si="5"/>
        <v>0</v>
      </c>
      <c r="L55" s="567">
        <f t="shared" si="6"/>
        <v>5.1835721999999995</v>
      </c>
      <c r="M55" s="567">
        <f t="shared" si="7"/>
        <v>0</v>
      </c>
      <c r="N55" s="567">
        <f t="shared" si="8"/>
        <v>4.3163586</v>
      </c>
      <c r="O55" s="567">
        <f t="shared" si="9"/>
        <v>0</v>
      </c>
      <c r="P55" s="568"/>
    </row>
    <row r="56" spans="1:16" s="291" customFormat="1" ht="13.5" thickBot="1">
      <c r="A56" s="1182"/>
      <c r="B56" s="695"/>
      <c r="C56" s="651" t="s">
        <v>117</v>
      </c>
      <c r="D56" s="298" t="s">
        <v>118</v>
      </c>
      <c r="E56" s="491">
        <v>999.38</v>
      </c>
      <c r="F56" s="491">
        <f t="shared" si="0"/>
        <v>599.62799999999993</v>
      </c>
      <c r="G56" s="566">
        <f t="shared" si="1"/>
        <v>0</v>
      </c>
      <c r="H56" s="567">
        <f t="shared" si="2"/>
        <v>50.668565999999998</v>
      </c>
      <c r="I56" s="567">
        <f t="shared" si="3"/>
        <v>0</v>
      </c>
      <c r="J56" s="567">
        <f t="shared" si="4"/>
        <v>19.188095999999998</v>
      </c>
      <c r="K56" s="567">
        <f t="shared" si="5"/>
        <v>0</v>
      </c>
      <c r="L56" s="567">
        <f t="shared" si="6"/>
        <v>15.770216399999999</v>
      </c>
      <c r="M56" s="567">
        <f t="shared" si="7"/>
        <v>0</v>
      </c>
      <c r="N56" s="567">
        <f t="shared" si="8"/>
        <v>13.131853199999998</v>
      </c>
      <c r="O56" s="567">
        <f t="shared" si="9"/>
        <v>0</v>
      </c>
      <c r="P56" s="568"/>
    </row>
    <row r="57" spans="1:16" s="291" customFormat="1" ht="13.5" thickBot="1">
      <c r="A57" s="1182"/>
      <c r="B57" s="695"/>
      <c r="C57" s="297" t="s">
        <v>119</v>
      </c>
      <c r="D57" s="298" t="s">
        <v>120</v>
      </c>
      <c r="E57" s="491">
        <v>222.6</v>
      </c>
      <c r="F57" s="491">
        <f t="shared" si="0"/>
        <v>133.56</v>
      </c>
      <c r="G57" s="566">
        <f t="shared" si="1"/>
        <v>0</v>
      </c>
      <c r="H57" s="567">
        <f t="shared" si="2"/>
        <v>11.285820000000001</v>
      </c>
      <c r="I57" s="567">
        <f t="shared" si="3"/>
        <v>0</v>
      </c>
      <c r="J57" s="567">
        <f t="shared" si="4"/>
        <v>4.2739200000000004</v>
      </c>
      <c r="K57" s="567">
        <f t="shared" si="5"/>
        <v>0</v>
      </c>
      <c r="L57" s="567">
        <f t="shared" si="6"/>
        <v>3.5126280000000003</v>
      </c>
      <c r="M57" s="567">
        <f t="shared" si="7"/>
        <v>0</v>
      </c>
      <c r="N57" s="567">
        <f t="shared" si="8"/>
        <v>2.9249640000000001</v>
      </c>
      <c r="O57" s="567">
        <f t="shared" si="9"/>
        <v>0</v>
      </c>
      <c r="P57" s="568"/>
    </row>
    <row r="58" spans="1:16" s="291" customFormat="1" ht="13.5" thickBot="1">
      <c r="A58" s="1182"/>
      <c r="B58" s="695"/>
      <c r="C58" s="653" t="s">
        <v>244</v>
      </c>
      <c r="D58" s="494" t="s">
        <v>3855</v>
      </c>
      <c r="E58" s="394">
        <v>1259.3900000000001</v>
      </c>
      <c r="F58" s="491">
        <f t="shared" si="0"/>
        <v>755.63400000000001</v>
      </c>
      <c r="G58" s="566">
        <f t="shared" si="1"/>
        <v>0</v>
      </c>
      <c r="H58" s="567">
        <f t="shared" si="2"/>
        <v>63.851073000000007</v>
      </c>
      <c r="I58" s="567">
        <f t="shared" si="3"/>
        <v>0</v>
      </c>
      <c r="J58" s="567">
        <f t="shared" si="4"/>
        <v>24.180288000000001</v>
      </c>
      <c r="K58" s="567">
        <f t="shared" si="5"/>
        <v>0</v>
      </c>
      <c r="L58" s="567">
        <f t="shared" si="6"/>
        <v>19.873174200000001</v>
      </c>
      <c r="M58" s="567">
        <f t="shared" si="7"/>
        <v>0</v>
      </c>
      <c r="N58" s="567">
        <f t="shared" si="8"/>
        <v>16.548384599999999</v>
      </c>
      <c r="O58" s="567">
        <f t="shared" si="9"/>
        <v>0</v>
      </c>
      <c r="P58" s="568"/>
    </row>
    <row r="59" spans="1:16" s="291" customFormat="1" ht="26.25" thickBot="1">
      <c r="A59" s="1182"/>
      <c r="B59" s="695"/>
      <c r="C59" s="339" t="s">
        <v>3856</v>
      </c>
      <c r="D59" s="337" t="s">
        <v>3857</v>
      </c>
      <c r="E59" s="491">
        <v>1399.56</v>
      </c>
      <c r="F59" s="594">
        <f t="shared" si="0"/>
        <v>839.73599999999999</v>
      </c>
      <c r="G59" s="396">
        <f t="shared" si="1"/>
        <v>0</v>
      </c>
      <c r="H59" s="397">
        <f t="shared" si="2"/>
        <v>70.957692000000009</v>
      </c>
      <c r="I59" s="397">
        <f t="shared" si="3"/>
        <v>0</v>
      </c>
      <c r="J59" s="397">
        <f t="shared" si="4"/>
        <v>26.871552000000001</v>
      </c>
      <c r="K59" s="397">
        <f t="shared" si="5"/>
        <v>0</v>
      </c>
      <c r="L59" s="397">
        <f t="shared" si="6"/>
        <v>22.0850568</v>
      </c>
      <c r="M59" s="397">
        <f t="shared" si="7"/>
        <v>0</v>
      </c>
      <c r="N59" s="397">
        <f t="shared" si="8"/>
        <v>18.390218399999998</v>
      </c>
      <c r="O59" s="397">
        <f t="shared" si="9"/>
        <v>0</v>
      </c>
      <c r="P59" s="568"/>
    </row>
    <row r="60" spans="1:16" s="291" customFormat="1" ht="13.5" thickBot="1">
      <c r="A60" s="1182"/>
      <c r="B60" s="695"/>
      <c r="C60" s="297" t="s">
        <v>3858</v>
      </c>
      <c r="D60" s="298" t="s">
        <v>3920</v>
      </c>
      <c r="E60" s="491">
        <v>2172.17</v>
      </c>
      <c r="F60" s="491">
        <f t="shared" si="0"/>
        <v>1303.3019999999999</v>
      </c>
      <c r="G60" s="396">
        <f t="shared" si="1"/>
        <v>0</v>
      </c>
      <c r="H60" s="567">
        <f t="shared" si="2"/>
        <v>110.129019</v>
      </c>
      <c r="I60" s="397">
        <f t="shared" si="3"/>
        <v>0</v>
      </c>
      <c r="J60" s="567">
        <f t="shared" si="4"/>
        <v>41.705663999999999</v>
      </c>
      <c r="K60" s="397">
        <f t="shared" si="5"/>
        <v>0</v>
      </c>
      <c r="L60" s="567">
        <f t="shared" si="6"/>
        <v>34.276842599999995</v>
      </c>
      <c r="M60" s="397">
        <f t="shared" si="7"/>
        <v>0</v>
      </c>
      <c r="N60" s="567">
        <f t="shared" si="8"/>
        <v>28.542313799999999</v>
      </c>
      <c r="O60" s="397">
        <f t="shared" si="9"/>
        <v>0</v>
      </c>
      <c r="P60" s="568"/>
    </row>
    <row r="61" spans="1:16" s="291" customFormat="1" ht="26.25" thickBot="1">
      <c r="A61" s="1182"/>
      <c r="B61" s="695"/>
      <c r="C61" s="588" t="s">
        <v>3914</v>
      </c>
      <c r="D61" s="298" t="s">
        <v>3921</v>
      </c>
      <c r="E61" s="491">
        <v>4008.22</v>
      </c>
      <c r="F61" s="491">
        <f t="shared" si="0"/>
        <v>2404.9319999999998</v>
      </c>
      <c r="G61" s="566">
        <f t="shared" si="1"/>
        <v>0</v>
      </c>
      <c r="H61" s="567">
        <f t="shared" si="2"/>
        <v>203.21675400000001</v>
      </c>
      <c r="I61" s="567">
        <f t="shared" si="3"/>
        <v>0</v>
      </c>
      <c r="J61" s="567">
        <f t="shared" si="4"/>
        <v>76.957823999999988</v>
      </c>
      <c r="K61" s="567">
        <f t="shared" si="5"/>
        <v>0</v>
      </c>
      <c r="L61" s="567">
        <f t="shared" si="6"/>
        <v>63.249711599999998</v>
      </c>
      <c r="M61" s="567">
        <f t="shared" si="7"/>
        <v>0</v>
      </c>
      <c r="N61" s="567">
        <f t="shared" si="8"/>
        <v>52.66801079999999</v>
      </c>
      <c r="O61" s="567">
        <f t="shared" si="9"/>
        <v>0</v>
      </c>
      <c r="P61" s="568"/>
    </row>
    <row r="62" spans="1:16" s="291" customFormat="1" ht="13.5" thickBot="1">
      <c r="A62" s="1182"/>
      <c r="B62" s="695"/>
      <c r="C62" s="297" t="s">
        <v>3915</v>
      </c>
      <c r="D62" s="298" t="s">
        <v>3917</v>
      </c>
      <c r="E62" s="654">
        <v>3919.41</v>
      </c>
      <c r="F62" s="491">
        <f t="shared" si="0"/>
        <v>2351.6459999999997</v>
      </c>
      <c r="G62" s="566">
        <f t="shared" si="1"/>
        <v>0</v>
      </c>
      <c r="H62" s="567">
        <f t="shared" si="2"/>
        <v>198.71408699999998</v>
      </c>
      <c r="I62" s="567">
        <f t="shared" si="3"/>
        <v>0</v>
      </c>
      <c r="J62" s="567">
        <f t="shared" si="4"/>
        <v>75.25267199999999</v>
      </c>
      <c r="K62" s="567">
        <f t="shared" si="5"/>
        <v>0</v>
      </c>
      <c r="L62" s="567">
        <f t="shared" si="6"/>
        <v>61.848289799999996</v>
      </c>
      <c r="M62" s="567">
        <f t="shared" si="7"/>
        <v>0</v>
      </c>
      <c r="N62" s="567">
        <f t="shared" si="8"/>
        <v>51.50104739999999</v>
      </c>
      <c r="O62" s="567">
        <f t="shared" si="9"/>
        <v>0</v>
      </c>
      <c r="P62" s="568"/>
    </row>
    <row r="63" spans="1:16" s="291" customFormat="1" ht="26.25" thickBot="1">
      <c r="A63" s="1182"/>
      <c r="B63" s="695"/>
      <c r="C63" s="922" t="s">
        <v>3916</v>
      </c>
      <c r="D63" s="605" t="s">
        <v>3918</v>
      </c>
      <c r="E63" s="491">
        <v>5661.37</v>
      </c>
      <c r="F63" s="491">
        <f t="shared" si="0"/>
        <v>3396.8219999999997</v>
      </c>
      <c r="G63" s="566">
        <f t="shared" si="1"/>
        <v>0</v>
      </c>
      <c r="H63" s="567">
        <f t="shared" si="2"/>
        <v>287.03145899999998</v>
      </c>
      <c r="I63" s="567">
        <f t="shared" si="3"/>
        <v>0</v>
      </c>
      <c r="J63" s="567">
        <f t="shared" si="4"/>
        <v>108.69830399999999</v>
      </c>
      <c r="K63" s="567">
        <f t="shared" si="5"/>
        <v>0</v>
      </c>
      <c r="L63" s="567">
        <f t="shared" si="6"/>
        <v>89.336418599999988</v>
      </c>
      <c r="M63" s="567">
        <f t="shared" si="7"/>
        <v>0</v>
      </c>
      <c r="N63" s="567">
        <f t="shared" si="8"/>
        <v>74.390401799999992</v>
      </c>
      <c r="O63" s="567">
        <f t="shared" si="9"/>
        <v>0</v>
      </c>
      <c r="P63" s="568"/>
    </row>
    <row r="64" spans="1:16" s="291" customFormat="1" ht="13.5" thickBot="1">
      <c r="A64" s="1182"/>
      <c r="B64" s="695"/>
      <c r="C64" s="655" t="s">
        <v>3861</v>
      </c>
      <c r="D64" s="298" t="s">
        <v>3919</v>
      </c>
      <c r="E64" s="491">
        <v>1828.63</v>
      </c>
      <c r="F64" s="491">
        <f t="shared" si="0"/>
        <v>1097.1780000000001</v>
      </c>
      <c r="G64" s="566">
        <f t="shared" si="1"/>
        <v>0</v>
      </c>
      <c r="H64" s="567">
        <f t="shared" si="2"/>
        <v>92.711541000000011</v>
      </c>
      <c r="I64" s="567">
        <f t="shared" si="3"/>
        <v>0</v>
      </c>
      <c r="J64" s="567">
        <f t="shared" si="4"/>
        <v>35.109696000000007</v>
      </c>
      <c r="K64" s="567">
        <f t="shared" si="5"/>
        <v>0</v>
      </c>
      <c r="L64" s="567">
        <f t="shared" si="6"/>
        <v>28.855781400000005</v>
      </c>
      <c r="M64" s="567">
        <f t="shared" si="7"/>
        <v>0</v>
      </c>
      <c r="N64" s="567">
        <f t="shared" si="8"/>
        <v>24.028198200000002</v>
      </c>
      <c r="O64" s="567">
        <f t="shared" si="9"/>
        <v>0</v>
      </c>
      <c r="P64" s="568"/>
    </row>
    <row r="65" spans="1:16" s="291" customFormat="1" ht="13.5" thickBot="1">
      <c r="A65" s="1182"/>
      <c r="B65" s="695"/>
      <c r="C65" s="588" t="s">
        <v>123</v>
      </c>
      <c r="D65" s="298" t="s">
        <v>3923</v>
      </c>
      <c r="E65" s="491">
        <v>329.56</v>
      </c>
      <c r="F65" s="491">
        <f t="shared" si="0"/>
        <v>197.73599999999999</v>
      </c>
      <c r="G65" s="566">
        <f t="shared" si="1"/>
        <v>0</v>
      </c>
      <c r="H65" s="567">
        <f t="shared" si="2"/>
        <v>16.708691999999999</v>
      </c>
      <c r="I65" s="567">
        <f t="shared" si="3"/>
        <v>0</v>
      </c>
      <c r="J65" s="567">
        <f t="shared" si="4"/>
        <v>6.3275519999999998</v>
      </c>
      <c r="K65" s="567">
        <f t="shared" si="5"/>
        <v>0</v>
      </c>
      <c r="L65" s="567">
        <f t="shared" si="6"/>
        <v>5.2004567999999995</v>
      </c>
      <c r="M65" s="567">
        <f t="shared" si="7"/>
        <v>0</v>
      </c>
      <c r="N65" s="567">
        <f t="shared" si="8"/>
        <v>4.3304183999999992</v>
      </c>
      <c r="O65" s="567">
        <f t="shared" si="9"/>
        <v>0</v>
      </c>
      <c r="P65" s="568"/>
    </row>
    <row r="66" spans="1:16" s="291" customFormat="1" ht="13.5" thickBot="1">
      <c r="A66" s="1182"/>
      <c r="B66" s="695"/>
      <c r="C66" s="297" t="s">
        <v>3863</v>
      </c>
      <c r="D66" s="298" t="s">
        <v>3864</v>
      </c>
      <c r="E66" s="491">
        <v>352.03</v>
      </c>
      <c r="F66" s="491">
        <f t="shared" si="0"/>
        <v>211.21799999999999</v>
      </c>
      <c r="G66" s="566">
        <f t="shared" si="1"/>
        <v>0</v>
      </c>
      <c r="H66" s="567">
        <f t="shared" si="2"/>
        <v>17.847920999999999</v>
      </c>
      <c r="I66" s="567">
        <f t="shared" si="3"/>
        <v>0</v>
      </c>
      <c r="J66" s="567">
        <f t="shared" si="4"/>
        <v>6.7589759999999997</v>
      </c>
      <c r="K66" s="567">
        <f t="shared" si="5"/>
        <v>0</v>
      </c>
      <c r="L66" s="567">
        <f t="shared" si="6"/>
        <v>5.5550334000000001</v>
      </c>
      <c r="M66" s="567">
        <f t="shared" si="7"/>
        <v>0</v>
      </c>
      <c r="N66" s="567">
        <f t="shared" si="8"/>
        <v>4.6256741999999997</v>
      </c>
      <c r="O66" s="567">
        <f t="shared" si="9"/>
        <v>0</v>
      </c>
      <c r="P66" s="568"/>
    </row>
    <row r="67" spans="1:16" s="291" customFormat="1" ht="13.5" thickBot="1">
      <c r="A67" s="1182"/>
      <c r="B67" s="585"/>
      <c r="C67" s="492" t="s">
        <v>430</v>
      </c>
      <c r="D67" s="494" t="s">
        <v>431</v>
      </c>
      <c r="E67" s="394">
        <v>588.5</v>
      </c>
      <c r="F67" s="491">
        <f t="shared" si="0"/>
        <v>353.09999999999997</v>
      </c>
      <c r="G67" s="566">
        <f t="shared" si="1"/>
        <v>0</v>
      </c>
      <c r="H67" s="567">
        <f t="shared" si="2"/>
        <v>29.836949999999998</v>
      </c>
      <c r="I67" s="567">
        <f t="shared" si="3"/>
        <v>0</v>
      </c>
      <c r="J67" s="567">
        <f t="shared" si="4"/>
        <v>11.299199999999999</v>
      </c>
      <c r="K67" s="567">
        <f t="shared" si="5"/>
        <v>0</v>
      </c>
      <c r="L67" s="567">
        <f t="shared" si="6"/>
        <v>9.2865299999999991</v>
      </c>
      <c r="M67" s="567">
        <f t="shared" si="7"/>
        <v>0</v>
      </c>
      <c r="N67" s="567">
        <f t="shared" si="8"/>
        <v>7.7328899999999994</v>
      </c>
      <c r="O67" s="567">
        <f t="shared" si="9"/>
        <v>0</v>
      </c>
      <c r="P67" s="568"/>
    </row>
    <row r="68" spans="1:16" s="291" customFormat="1" ht="13.5" thickBot="1">
      <c r="A68" s="1182"/>
      <c r="B68" s="695"/>
      <c r="C68" s="297" t="s">
        <v>366</v>
      </c>
      <c r="D68" s="298" t="s">
        <v>367</v>
      </c>
      <c r="E68" s="491">
        <v>588.5</v>
      </c>
      <c r="F68" s="491">
        <f t="shared" si="0"/>
        <v>353.09999999999997</v>
      </c>
      <c r="G68" s="566">
        <f t="shared" si="1"/>
        <v>0</v>
      </c>
      <c r="H68" s="567">
        <f t="shared" si="2"/>
        <v>29.836949999999998</v>
      </c>
      <c r="I68" s="567">
        <f t="shared" si="3"/>
        <v>0</v>
      </c>
      <c r="J68" s="567">
        <f t="shared" si="4"/>
        <v>11.299199999999999</v>
      </c>
      <c r="K68" s="567">
        <f t="shared" si="5"/>
        <v>0</v>
      </c>
      <c r="L68" s="567">
        <f t="shared" si="6"/>
        <v>9.2865299999999991</v>
      </c>
      <c r="M68" s="567">
        <f t="shared" si="7"/>
        <v>0</v>
      </c>
      <c r="N68" s="567">
        <f t="shared" si="8"/>
        <v>7.7328899999999994</v>
      </c>
      <c r="O68" s="567">
        <f t="shared" si="9"/>
        <v>0</v>
      </c>
      <c r="P68" s="568"/>
    </row>
    <row r="69" spans="1:16" s="291" customFormat="1" ht="13.5" thickBot="1">
      <c r="A69" s="1182"/>
      <c r="B69" s="695"/>
      <c r="C69" s="297" t="s">
        <v>522</v>
      </c>
      <c r="D69" s="298" t="s">
        <v>432</v>
      </c>
      <c r="E69" s="491">
        <v>101.65</v>
      </c>
      <c r="F69" s="491">
        <f t="shared" si="0"/>
        <v>60.99</v>
      </c>
      <c r="G69" s="566">
        <f t="shared" si="1"/>
        <v>0</v>
      </c>
      <c r="H69" s="567">
        <f t="shared" si="2"/>
        <v>5.1536550000000005</v>
      </c>
      <c r="I69" s="567">
        <f t="shared" si="3"/>
        <v>0</v>
      </c>
      <c r="J69" s="567">
        <f t="shared" si="4"/>
        <v>1.9516800000000001</v>
      </c>
      <c r="K69" s="567">
        <f t="shared" si="5"/>
        <v>0</v>
      </c>
      <c r="L69" s="567">
        <f t="shared" si="6"/>
        <v>1.6040370000000002</v>
      </c>
      <c r="M69" s="567">
        <f t="shared" si="7"/>
        <v>0</v>
      </c>
      <c r="N69" s="567">
        <f t="shared" si="8"/>
        <v>1.3356809999999999</v>
      </c>
      <c r="O69" s="567">
        <f t="shared" si="9"/>
        <v>0</v>
      </c>
      <c r="P69" s="568"/>
    </row>
    <row r="70" spans="1:16" s="291" customFormat="1" ht="13.5" thickBot="1">
      <c r="A70" s="1182"/>
      <c r="B70" s="695"/>
      <c r="C70" s="297" t="s">
        <v>3865</v>
      </c>
      <c r="D70" s="298" t="s">
        <v>3866</v>
      </c>
      <c r="E70" s="491">
        <v>145.52000000000001</v>
      </c>
      <c r="F70" s="491">
        <f t="shared" si="0"/>
        <v>87.311999999999998</v>
      </c>
      <c r="G70" s="566">
        <f t="shared" si="1"/>
        <v>0</v>
      </c>
      <c r="H70" s="567">
        <f t="shared" si="2"/>
        <v>7.3778640000000006</v>
      </c>
      <c r="I70" s="567">
        <f t="shared" si="3"/>
        <v>0</v>
      </c>
      <c r="J70" s="567">
        <f t="shared" si="4"/>
        <v>2.793984</v>
      </c>
      <c r="K70" s="567">
        <f t="shared" si="5"/>
        <v>0</v>
      </c>
      <c r="L70" s="567">
        <f t="shared" si="6"/>
        <v>2.2963056000000002</v>
      </c>
      <c r="M70" s="567">
        <f t="shared" si="7"/>
        <v>0</v>
      </c>
      <c r="N70" s="567">
        <f t="shared" si="8"/>
        <v>1.9121328</v>
      </c>
      <c r="O70" s="567">
        <f t="shared" si="9"/>
        <v>0</v>
      </c>
      <c r="P70" s="568"/>
    </row>
    <row r="71" spans="1:16" s="291" customFormat="1" ht="13.5" thickBot="1">
      <c r="A71" s="1182"/>
      <c r="B71" s="695"/>
      <c r="C71" s="297" t="s">
        <v>127</v>
      </c>
      <c r="D71" s="298" t="s">
        <v>128</v>
      </c>
      <c r="E71" s="491">
        <v>148.72999999999999</v>
      </c>
      <c r="F71" s="491">
        <f t="shared" si="0"/>
        <v>89.237999999999985</v>
      </c>
      <c r="G71" s="396">
        <f t="shared" si="1"/>
        <v>0</v>
      </c>
      <c r="H71" s="567">
        <f t="shared" si="2"/>
        <v>7.5406109999999993</v>
      </c>
      <c r="I71" s="397">
        <f t="shared" si="3"/>
        <v>0</v>
      </c>
      <c r="J71" s="567">
        <f t="shared" si="4"/>
        <v>2.8556159999999995</v>
      </c>
      <c r="K71" s="397">
        <f t="shared" si="5"/>
        <v>0</v>
      </c>
      <c r="L71" s="567">
        <f t="shared" si="6"/>
        <v>2.3469593999999998</v>
      </c>
      <c r="M71" s="397">
        <f t="shared" si="7"/>
        <v>0</v>
      </c>
      <c r="N71" s="567">
        <f t="shared" si="8"/>
        <v>1.9543121999999997</v>
      </c>
      <c r="O71" s="397">
        <f t="shared" si="9"/>
        <v>0</v>
      </c>
      <c r="P71" s="568"/>
    </row>
    <row r="72" spans="1:16" s="291" customFormat="1" ht="13.5" thickBot="1">
      <c r="A72" s="1182"/>
      <c r="B72" s="695"/>
      <c r="C72" s="653" t="s">
        <v>129</v>
      </c>
      <c r="D72" s="298" t="s">
        <v>171</v>
      </c>
      <c r="E72" s="491">
        <v>785</v>
      </c>
      <c r="F72" s="491">
        <f t="shared" si="0"/>
        <v>471</v>
      </c>
      <c r="G72" s="566">
        <f t="shared" si="1"/>
        <v>0</v>
      </c>
      <c r="H72" s="567">
        <f t="shared" si="2"/>
        <v>39.799500000000002</v>
      </c>
      <c r="I72" s="567">
        <f t="shared" si="3"/>
        <v>0</v>
      </c>
      <c r="J72" s="567">
        <f t="shared" si="4"/>
        <v>15.072000000000001</v>
      </c>
      <c r="K72" s="567">
        <f t="shared" si="5"/>
        <v>0</v>
      </c>
      <c r="L72" s="567">
        <f t="shared" si="6"/>
        <v>12.3873</v>
      </c>
      <c r="M72" s="567">
        <f t="shared" si="7"/>
        <v>0</v>
      </c>
      <c r="N72" s="567">
        <f t="shared" si="8"/>
        <v>10.3149</v>
      </c>
      <c r="O72" s="567">
        <f t="shared" si="9"/>
        <v>0</v>
      </c>
      <c r="P72" s="568"/>
    </row>
    <row r="73" spans="1:16" s="291" customFormat="1" ht="13.5" thickBot="1">
      <c r="A73" s="1182"/>
      <c r="B73" s="695"/>
      <c r="C73" s="565" t="s">
        <v>131</v>
      </c>
      <c r="D73" s="298" t="s">
        <v>172</v>
      </c>
      <c r="E73" s="491">
        <v>821</v>
      </c>
      <c r="F73" s="491">
        <f t="shared" si="0"/>
        <v>492.59999999999997</v>
      </c>
      <c r="G73" s="566">
        <f t="shared" si="1"/>
        <v>0</v>
      </c>
      <c r="H73" s="567">
        <f t="shared" si="2"/>
        <v>41.624699999999997</v>
      </c>
      <c r="I73" s="567">
        <f t="shared" si="3"/>
        <v>0</v>
      </c>
      <c r="J73" s="567">
        <f t="shared" si="4"/>
        <v>15.763199999999999</v>
      </c>
      <c r="K73" s="567">
        <f t="shared" si="5"/>
        <v>0</v>
      </c>
      <c r="L73" s="567">
        <f t="shared" si="6"/>
        <v>12.95538</v>
      </c>
      <c r="M73" s="567">
        <f t="shared" si="7"/>
        <v>0</v>
      </c>
      <c r="N73" s="567">
        <f t="shared" si="8"/>
        <v>10.787939999999999</v>
      </c>
      <c r="O73" s="567">
        <f t="shared" si="9"/>
        <v>0</v>
      </c>
      <c r="P73" s="568"/>
    </row>
    <row r="74" spans="1:16" s="291" customFormat="1" ht="13.5" thickBot="1">
      <c r="A74" s="1182"/>
      <c r="B74" s="695"/>
      <c r="C74" s="297" t="s">
        <v>133</v>
      </c>
      <c r="D74" s="298" t="s">
        <v>134</v>
      </c>
      <c r="E74" s="491">
        <v>690</v>
      </c>
      <c r="F74" s="491">
        <f t="shared" si="0"/>
        <v>414</v>
      </c>
      <c r="G74" s="566">
        <f t="shared" si="1"/>
        <v>0</v>
      </c>
      <c r="H74" s="567">
        <f t="shared" si="2"/>
        <v>34.983000000000004</v>
      </c>
      <c r="I74" s="567">
        <f t="shared" si="3"/>
        <v>0</v>
      </c>
      <c r="J74" s="567">
        <f t="shared" si="4"/>
        <v>13.248000000000001</v>
      </c>
      <c r="K74" s="567">
        <f t="shared" si="5"/>
        <v>0</v>
      </c>
      <c r="L74" s="567">
        <f t="shared" si="6"/>
        <v>10.888199999999999</v>
      </c>
      <c r="M74" s="567">
        <f t="shared" si="7"/>
        <v>0</v>
      </c>
      <c r="N74" s="567">
        <f t="shared" si="8"/>
        <v>9.0665999999999993</v>
      </c>
      <c r="O74" s="567">
        <f t="shared" si="9"/>
        <v>0</v>
      </c>
      <c r="P74" s="568"/>
    </row>
    <row r="75" spans="1:16" s="291" customFormat="1" ht="13.5" thickBot="1">
      <c r="A75" s="1182"/>
      <c r="B75" s="695"/>
      <c r="C75" s="651" t="s">
        <v>135</v>
      </c>
      <c r="D75" s="298" t="s">
        <v>136</v>
      </c>
      <c r="E75" s="491">
        <v>191</v>
      </c>
      <c r="F75" s="491">
        <f t="shared" si="0"/>
        <v>114.6</v>
      </c>
      <c r="G75" s="566">
        <f t="shared" si="1"/>
        <v>0</v>
      </c>
      <c r="H75" s="567">
        <f t="shared" si="2"/>
        <v>9.6837</v>
      </c>
      <c r="I75" s="567">
        <f t="shared" si="3"/>
        <v>0</v>
      </c>
      <c r="J75" s="567">
        <f t="shared" si="4"/>
        <v>3.6671999999999998</v>
      </c>
      <c r="K75" s="567">
        <f t="shared" si="5"/>
        <v>0</v>
      </c>
      <c r="L75" s="567">
        <f t="shared" si="6"/>
        <v>3.0139800000000001</v>
      </c>
      <c r="M75" s="567">
        <f t="shared" si="7"/>
        <v>0</v>
      </c>
      <c r="N75" s="567">
        <f t="shared" si="8"/>
        <v>2.5097399999999999</v>
      </c>
      <c r="O75" s="567">
        <f t="shared" si="9"/>
        <v>0</v>
      </c>
      <c r="P75" s="568"/>
    </row>
    <row r="76" spans="1:16" s="291" customFormat="1" ht="13.5" thickBot="1">
      <c r="A76" s="1182"/>
      <c r="B76" s="695"/>
      <c r="C76" s="565" t="s">
        <v>137</v>
      </c>
      <c r="D76" s="590" t="s">
        <v>3867</v>
      </c>
      <c r="E76" s="491">
        <v>667.8</v>
      </c>
      <c r="F76" s="491">
        <f t="shared" si="0"/>
        <v>400.67999999999995</v>
      </c>
      <c r="G76" s="566">
        <f t="shared" si="1"/>
        <v>0</v>
      </c>
      <c r="H76" s="567">
        <f t="shared" si="2"/>
        <v>33.857459999999996</v>
      </c>
      <c r="I76" s="567">
        <f t="shared" si="3"/>
        <v>0</v>
      </c>
      <c r="J76" s="567">
        <f t="shared" si="4"/>
        <v>12.821759999999999</v>
      </c>
      <c r="K76" s="567">
        <f t="shared" si="5"/>
        <v>0</v>
      </c>
      <c r="L76" s="567">
        <f t="shared" si="6"/>
        <v>10.537883999999998</v>
      </c>
      <c r="M76" s="567">
        <f t="shared" si="7"/>
        <v>0</v>
      </c>
      <c r="N76" s="567">
        <f t="shared" si="8"/>
        <v>8.7748919999999995</v>
      </c>
      <c r="O76" s="567">
        <f t="shared" si="9"/>
        <v>0</v>
      </c>
      <c r="P76" s="568"/>
    </row>
    <row r="77" spans="1:16" s="291" customFormat="1" ht="15" customHeight="1" thickBot="1">
      <c r="A77" s="1182"/>
      <c r="B77" s="695"/>
      <c r="C77" s="589" t="s">
        <v>139</v>
      </c>
      <c r="D77" s="590" t="s">
        <v>140</v>
      </c>
      <c r="E77" s="491">
        <v>250</v>
      </c>
      <c r="F77" s="491">
        <f t="shared" si="0"/>
        <v>150</v>
      </c>
      <c r="G77" s="566">
        <f t="shared" si="1"/>
        <v>0</v>
      </c>
      <c r="H77" s="567">
        <f t="shared" si="2"/>
        <v>12.675000000000001</v>
      </c>
      <c r="I77" s="567">
        <f t="shared" si="3"/>
        <v>0</v>
      </c>
      <c r="J77" s="567">
        <f t="shared" si="4"/>
        <v>4.8</v>
      </c>
      <c r="K77" s="567">
        <f t="shared" si="5"/>
        <v>0</v>
      </c>
      <c r="L77" s="567">
        <f t="shared" si="6"/>
        <v>3.9450000000000003</v>
      </c>
      <c r="M77" s="567">
        <f t="shared" si="7"/>
        <v>0</v>
      </c>
      <c r="N77" s="567">
        <f t="shared" si="8"/>
        <v>3.2849999999999997</v>
      </c>
      <c r="O77" s="567">
        <f t="shared" si="9"/>
        <v>0</v>
      </c>
      <c r="P77" s="568"/>
    </row>
    <row r="78" spans="1:16" s="519" customFormat="1" ht="13.5" thickBot="1">
      <c r="A78" s="1182"/>
      <c r="B78" s="695"/>
      <c r="C78" s="591" t="s">
        <v>141</v>
      </c>
      <c r="D78" s="592" t="s">
        <v>174</v>
      </c>
      <c r="E78" s="657">
        <v>250</v>
      </c>
      <c r="F78" s="491">
        <f t="shared" si="0"/>
        <v>150</v>
      </c>
      <c r="G78" s="396">
        <f t="shared" si="1"/>
        <v>0</v>
      </c>
      <c r="H78" s="567">
        <f t="shared" si="2"/>
        <v>12.675000000000001</v>
      </c>
      <c r="I78" s="397">
        <f t="shared" si="3"/>
        <v>0</v>
      </c>
      <c r="J78" s="567">
        <f t="shared" si="4"/>
        <v>4.8</v>
      </c>
      <c r="K78" s="397">
        <f t="shared" si="5"/>
        <v>0</v>
      </c>
      <c r="L78" s="567">
        <f t="shared" si="6"/>
        <v>3.9450000000000003</v>
      </c>
      <c r="M78" s="397">
        <f t="shared" si="7"/>
        <v>0</v>
      </c>
      <c r="N78" s="567">
        <f t="shared" si="8"/>
        <v>3.2849999999999997</v>
      </c>
      <c r="O78" s="397">
        <f t="shared" si="9"/>
        <v>0</v>
      </c>
      <c r="P78" s="568"/>
    </row>
    <row r="79" spans="1:16" s="291" customFormat="1" ht="15" customHeight="1" thickBot="1">
      <c r="A79" s="1182"/>
      <c r="B79" s="695"/>
      <c r="C79" s="297" t="s">
        <v>250</v>
      </c>
      <c r="D79" s="298" t="s">
        <v>3924</v>
      </c>
      <c r="E79" s="491">
        <v>3930.11</v>
      </c>
      <c r="F79" s="491">
        <f t="shared" si="0"/>
        <v>2358.0659999999998</v>
      </c>
      <c r="G79" s="566">
        <f t="shared" si="1"/>
        <v>0</v>
      </c>
      <c r="H79" s="567">
        <f t="shared" ref="H79:H98" si="10">F79*0.0845</f>
        <v>199.25657699999999</v>
      </c>
      <c r="I79" s="567">
        <f t="shared" si="3"/>
        <v>0</v>
      </c>
      <c r="J79" s="567">
        <f t="shared" ref="J79:J98" si="11">F79*0.032</f>
        <v>75.458112</v>
      </c>
      <c r="K79" s="567">
        <f t="shared" si="5"/>
        <v>0</v>
      </c>
      <c r="L79" s="567">
        <f t="shared" ref="L79:L98" si="12">F79*0.0263</f>
        <v>62.017135799999998</v>
      </c>
      <c r="M79" s="567">
        <f t="shared" si="7"/>
        <v>0</v>
      </c>
      <c r="N79" s="567">
        <f t="shared" ref="N79:N98" si="13">F79*0.0219</f>
        <v>51.641645399999994</v>
      </c>
      <c r="O79" s="567">
        <f t="shared" si="9"/>
        <v>0</v>
      </c>
      <c r="P79" s="568"/>
    </row>
    <row r="80" spans="1:16" ht="26.25" thickBot="1">
      <c r="A80" s="1182"/>
      <c r="B80" s="695"/>
      <c r="C80" s="565" t="s">
        <v>251</v>
      </c>
      <c r="D80" s="298" t="s">
        <v>3868</v>
      </c>
      <c r="E80" s="491">
        <v>1959</v>
      </c>
      <c r="F80" s="491">
        <f t="shared" si="0"/>
        <v>1175.3999999999999</v>
      </c>
      <c r="G80" s="566">
        <f t="shared" si="1"/>
        <v>0</v>
      </c>
      <c r="H80" s="567">
        <f t="shared" si="10"/>
        <v>99.321299999999994</v>
      </c>
      <c r="I80" s="567">
        <f t="shared" si="3"/>
        <v>0</v>
      </c>
      <c r="J80" s="567">
        <f t="shared" si="11"/>
        <v>37.612799999999993</v>
      </c>
      <c r="K80" s="567">
        <f t="shared" si="5"/>
        <v>0</v>
      </c>
      <c r="L80" s="567">
        <f t="shared" si="12"/>
        <v>30.913019999999996</v>
      </c>
      <c r="M80" s="567">
        <f t="shared" si="7"/>
        <v>0</v>
      </c>
      <c r="N80" s="567">
        <f t="shared" si="13"/>
        <v>25.741259999999997</v>
      </c>
      <c r="O80" s="567">
        <f t="shared" si="9"/>
        <v>0</v>
      </c>
      <c r="P80" s="568"/>
    </row>
    <row r="81" spans="1:16" s="291" customFormat="1" ht="13.5" thickBot="1">
      <c r="A81" s="1182"/>
      <c r="B81" s="695"/>
      <c r="C81" s="297" t="s">
        <v>252</v>
      </c>
      <c r="D81" s="298" t="s">
        <v>3869</v>
      </c>
      <c r="E81" s="491">
        <v>996.17</v>
      </c>
      <c r="F81" s="491">
        <f t="shared" si="0"/>
        <v>597.702</v>
      </c>
      <c r="G81" s="566">
        <f t="shared" si="1"/>
        <v>0</v>
      </c>
      <c r="H81" s="567">
        <f t="shared" si="10"/>
        <v>50.505819000000002</v>
      </c>
      <c r="I81" s="567">
        <f t="shared" si="3"/>
        <v>0</v>
      </c>
      <c r="J81" s="567">
        <f t="shared" si="11"/>
        <v>19.126463999999999</v>
      </c>
      <c r="K81" s="567">
        <f t="shared" si="5"/>
        <v>0</v>
      </c>
      <c r="L81" s="567">
        <f t="shared" si="12"/>
        <v>15.7195626</v>
      </c>
      <c r="M81" s="567">
        <f t="shared" si="7"/>
        <v>0</v>
      </c>
      <c r="N81" s="567">
        <f t="shared" si="13"/>
        <v>13.0896738</v>
      </c>
      <c r="O81" s="567">
        <f t="shared" si="9"/>
        <v>0</v>
      </c>
      <c r="P81" s="568"/>
    </row>
    <row r="82" spans="1:16" s="291" customFormat="1" ht="13.5" thickBot="1">
      <c r="A82" s="1182"/>
      <c r="B82" s="695"/>
      <c r="C82" s="297" t="s">
        <v>218</v>
      </c>
      <c r="D82" s="298" t="s">
        <v>253</v>
      </c>
      <c r="E82" s="491">
        <v>70.62</v>
      </c>
      <c r="F82" s="491">
        <f t="shared" si="0"/>
        <v>42.372</v>
      </c>
      <c r="G82" s="566">
        <f t="shared" si="1"/>
        <v>0</v>
      </c>
      <c r="H82" s="567">
        <f t="shared" si="10"/>
        <v>3.5804340000000003</v>
      </c>
      <c r="I82" s="567">
        <f t="shared" si="3"/>
        <v>0</v>
      </c>
      <c r="J82" s="567">
        <f t="shared" si="11"/>
        <v>1.355904</v>
      </c>
      <c r="K82" s="567">
        <f t="shared" si="5"/>
        <v>0</v>
      </c>
      <c r="L82" s="567">
        <f t="shared" si="12"/>
        <v>1.1143836</v>
      </c>
      <c r="M82" s="567">
        <f t="shared" si="7"/>
        <v>0</v>
      </c>
      <c r="N82" s="567">
        <f t="shared" si="13"/>
        <v>0.92794679999999996</v>
      </c>
      <c r="O82" s="567">
        <f t="shared" si="9"/>
        <v>0</v>
      </c>
      <c r="P82" s="568"/>
    </row>
    <row r="83" spans="1:16" s="291" customFormat="1" ht="13.5" thickBot="1">
      <c r="A83" s="1182"/>
      <c r="B83" s="695"/>
      <c r="C83" s="297" t="s">
        <v>3870</v>
      </c>
      <c r="D83" s="298" t="s">
        <v>433</v>
      </c>
      <c r="E83" s="491">
        <v>131.61000000000001</v>
      </c>
      <c r="F83" s="491">
        <f>E83*(1-40%)</f>
        <v>78.966000000000008</v>
      </c>
      <c r="G83" s="566">
        <f>F83*B83</f>
        <v>0</v>
      </c>
      <c r="H83" s="567">
        <f>F83*0.0845</f>
        <v>6.6726270000000012</v>
      </c>
      <c r="I83" s="567">
        <f>H83*B83</f>
        <v>0</v>
      </c>
      <c r="J83" s="567">
        <f>F83*0.032</f>
        <v>2.5269120000000003</v>
      </c>
      <c r="K83" s="567">
        <f>J83*B83</f>
        <v>0</v>
      </c>
      <c r="L83" s="567">
        <f>F83*0.0263</f>
        <v>2.0768058000000003</v>
      </c>
      <c r="M83" s="567">
        <f>L83*B83</f>
        <v>0</v>
      </c>
      <c r="N83" s="567">
        <f>F83*0.0219</f>
        <v>1.7293554000000002</v>
      </c>
      <c r="O83" s="567">
        <f>N83*B83</f>
        <v>0</v>
      </c>
      <c r="P83" s="568"/>
    </row>
    <row r="84" spans="1:16" s="291" customFormat="1" ht="13.5" thickBot="1">
      <c r="A84" s="1182"/>
      <c r="B84" s="695"/>
      <c r="C84" s="297" t="s">
        <v>3871</v>
      </c>
      <c r="D84" s="298" t="s">
        <v>385</v>
      </c>
      <c r="E84" s="491">
        <v>1075.3499999999999</v>
      </c>
      <c r="F84" s="491">
        <f t="shared" si="0"/>
        <v>645.20999999999992</v>
      </c>
      <c r="G84" s="566">
        <f t="shared" ref="G84:G98" si="14">F84*B84</f>
        <v>0</v>
      </c>
      <c r="H84" s="567">
        <f t="shared" si="10"/>
        <v>54.520244999999996</v>
      </c>
      <c r="I84" s="567">
        <f t="shared" ref="I84:I98" si="15">H84*B84</f>
        <v>0</v>
      </c>
      <c r="J84" s="567">
        <f t="shared" si="11"/>
        <v>20.646719999999998</v>
      </c>
      <c r="K84" s="567">
        <f t="shared" ref="K84:K98" si="16">J84*B84</f>
        <v>0</v>
      </c>
      <c r="L84" s="567">
        <f t="shared" si="12"/>
        <v>16.969023</v>
      </c>
      <c r="M84" s="567">
        <f t="shared" ref="M84:M98" si="17">L84*B84</f>
        <v>0</v>
      </c>
      <c r="N84" s="567">
        <f t="shared" si="13"/>
        <v>14.130098999999998</v>
      </c>
      <c r="O84" s="567">
        <f t="shared" ref="O84:O98" si="18">N84*B84</f>
        <v>0</v>
      </c>
      <c r="P84" s="568"/>
    </row>
    <row r="85" spans="1:16" s="291" customFormat="1" ht="13.5" thickBot="1">
      <c r="A85" s="1182"/>
      <c r="B85" s="695"/>
      <c r="C85" s="926" t="s">
        <v>3872</v>
      </c>
      <c r="D85" s="658" t="s">
        <v>386</v>
      </c>
      <c r="E85" s="491">
        <v>1402.77</v>
      </c>
      <c r="F85" s="491">
        <f t="shared" si="0"/>
        <v>841.66199999999992</v>
      </c>
      <c r="G85" s="566">
        <f t="shared" si="14"/>
        <v>0</v>
      </c>
      <c r="H85" s="567">
        <f t="shared" si="10"/>
        <v>71.120439000000005</v>
      </c>
      <c r="I85" s="567">
        <f t="shared" si="15"/>
        <v>0</v>
      </c>
      <c r="J85" s="567">
        <f t="shared" si="11"/>
        <v>26.933183999999997</v>
      </c>
      <c r="K85" s="567">
        <f t="shared" si="16"/>
        <v>0</v>
      </c>
      <c r="L85" s="567">
        <f t="shared" si="12"/>
        <v>22.135710599999999</v>
      </c>
      <c r="M85" s="567">
        <f t="shared" si="17"/>
        <v>0</v>
      </c>
      <c r="N85" s="567">
        <f t="shared" si="13"/>
        <v>18.432397799999997</v>
      </c>
      <c r="O85" s="567">
        <f t="shared" si="18"/>
        <v>0</v>
      </c>
      <c r="P85" s="568"/>
    </row>
    <row r="86" spans="1:16" s="291" customFormat="1" ht="28.5" customHeight="1" thickBot="1">
      <c r="A86" s="1182"/>
      <c r="B86" s="924"/>
      <c r="C86" s="928" t="s">
        <v>3873</v>
      </c>
      <c r="D86" s="925" t="s">
        <v>387</v>
      </c>
      <c r="E86" s="491">
        <v>1651.01</v>
      </c>
      <c r="F86" s="491">
        <f t="shared" si="0"/>
        <v>990.60599999999999</v>
      </c>
      <c r="G86" s="566">
        <f t="shared" si="14"/>
        <v>0</v>
      </c>
      <c r="H86" s="567">
        <f t="shared" si="10"/>
        <v>83.706207000000006</v>
      </c>
      <c r="I86" s="567">
        <f t="shared" si="15"/>
        <v>0</v>
      </c>
      <c r="J86" s="567">
        <f t="shared" si="11"/>
        <v>31.699392</v>
      </c>
      <c r="K86" s="567">
        <f t="shared" si="16"/>
        <v>0</v>
      </c>
      <c r="L86" s="567">
        <f t="shared" si="12"/>
        <v>26.052937799999999</v>
      </c>
      <c r="M86" s="567">
        <f t="shared" si="17"/>
        <v>0</v>
      </c>
      <c r="N86" s="567">
        <f t="shared" si="13"/>
        <v>21.694271399999998</v>
      </c>
      <c r="O86" s="567">
        <f t="shared" si="18"/>
        <v>0</v>
      </c>
      <c r="P86" s="568"/>
    </row>
    <row r="87" spans="1:16" s="291" customFormat="1" ht="13.5" thickBot="1">
      <c r="A87" s="1182"/>
      <c r="B87" s="695"/>
      <c r="C87" s="927" t="s">
        <v>254</v>
      </c>
      <c r="D87" s="298" t="s">
        <v>255</v>
      </c>
      <c r="E87" s="491">
        <v>1964.52</v>
      </c>
      <c r="F87" s="491">
        <f t="shared" si="0"/>
        <v>1178.712</v>
      </c>
      <c r="G87" s="566">
        <f t="shared" si="14"/>
        <v>0</v>
      </c>
      <c r="H87" s="567">
        <f t="shared" si="10"/>
        <v>99.601164000000011</v>
      </c>
      <c r="I87" s="567">
        <f t="shared" si="15"/>
        <v>0</v>
      </c>
      <c r="J87" s="567">
        <f t="shared" si="11"/>
        <v>37.718783999999999</v>
      </c>
      <c r="K87" s="567">
        <f t="shared" si="16"/>
        <v>0</v>
      </c>
      <c r="L87" s="567">
        <f t="shared" si="12"/>
        <v>31.000125600000001</v>
      </c>
      <c r="M87" s="567">
        <f t="shared" si="17"/>
        <v>0</v>
      </c>
      <c r="N87" s="567">
        <f t="shared" si="13"/>
        <v>25.813792799999998</v>
      </c>
      <c r="O87" s="567">
        <f t="shared" si="18"/>
        <v>0</v>
      </c>
      <c r="P87" s="568"/>
    </row>
    <row r="88" spans="1:16" s="315" customFormat="1" ht="34.5" customHeight="1" thickBot="1">
      <c r="A88" s="1182"/>
      <c r="B88" s="695"/>
      <c r="C88" s="297" t="s">
        <v>528</v>
      </c>
      <c r="D88" s="298" t="s">
        <v>3912</v>
      </c>
      <c r="E88" s="491">
        <v>1306.47</v>
      </c>
      <c r="F88" s="491">
        <f t="shared" si="0"/>
        <v>783.88199999999995</v>
      </c>
      <c r="G88" s="566">
        <f t="shared" si="14"/>
        <v>0</v>
      </c>
      <c r="H88" s="567">
        <f t="shared" si="10"/>
        <v>66.238028999999997</v>
      </c>
      <c r="I88" s="567">
        <f t="shared" si="15"/>
        <v>0</v>
      </c>
      <c r="J88" s="567">
        <f t="shared" si="11"/>
        <v>25.084223999999999</v>
      </c>
      <c r="K88" s="567">
        <f t="shared" si="16"/>
        <v>0</v>
      </c>
      <c r="L88" s="567">
        <f t="shared" si="12"/>
        <v>20.616096599999999</v>
      </c>
      <c r="M88" s="567">
        <f t="shared" si="17"/>
        <v>0</v>
      </c>
      <c r="N88" s="567">
        <f t="shared" si="13"/>
        <v>17.167015799999998</v>
      </c>
      <c r="O88" s="567">
        <f t="shared" si="18"/>
        <v>0</v>
      </c>
      <c r="P88" s="568"/>
    </row>
    <row r="89" spans="1:16" s="291" customFormat="1" ht="13.5" thickBot="1">
      <c r="A89" s="1182"/>
      <c r="B89" s="695"/>
      <c r="C89" s="297" t="s">
        <v>256</v>
      </c>
      <c r="D89" s="298" t="s">
        <v>3875</v>
      </c>
      <c r="E89" s="491">
        <v>690.15</v>
      </c>
      <c r="F89" s="491">
        <f t="shared" si="0"/>
        <v>414.09</v>
      </c>
      <c r="G89" s="566">
        <f t="shared" si="14"/>
        <v>0</v>
      </c>
      <c r="H89" s="567">
        <f t="shared" si="10"/>
        <v>34.990605000000002</v>
      </c>
      <c r="I89" s="567">
        <f t="shared" si="15"/>
        <v>0</v>
      </c>
      <c r="J89" s="567">
        <f t="shared" si="11"/>
        <v>13.250879999999999</v>
      </c>
      <c r="K89" s="567">
        <f t="shared" si="16"/>
        <v>0</v>
      </c>
      <c r="L89" s="567">
        <f t="shared" si="12"/>
        <v>10.890566999999999</v>
      </c>
      <c r="M89" s="567">
        <f t="shared" si="17"/>
        <v>0</v>
      </c>
      <c r="N89" s="567">
        <f t="shared" si="13"/>
        <v>9.0685709999999986</v>
      </c>
      <c r="O89" s="567">
        <f t="shared" si="18"/>
        <v>0</v>
      </c>
      <c r="P89" s="568"/>
    </row>
    <row r="90" spans="1:16" s="291" customFormat="1" ht="30" customHeight="1" thickBot="1">
      <c r="A90" s="1182"/>
      <c r="B90" s="695"/>
      <c r="C90" s="651" t="s">
        <v>368</v>
      </c>
      <c r="D90" s="298" t="s">
        <v>434</v>
      </c>
      <c r="E90" s="491">
        <v>1000.45</v>
      </c>
      <c r="F90" s="491">
        <f t="shared" si="0"/>
        <v>600.27</v>
      </c>
      <c r="G90" s="566">
        <f t="shared" si="14"/>
        <v>0</v>
      </c>
      <c r="H90" s="567">
        <f t="shared" si="10"/>
        <v>50.722815000000004</v>
      </c>
      <c r="I90" s="567">
        <f t="shared" si="15"/>
        <v>0</v>
      </c>
      <c r="J90" s="567">
        <f t="shared" si="11"/>
        <v>19.208639999999999</v>
      </c>
      <c r="K90" s="567">
        <f t="shared" si="16"/>
        <v>0</v>
      </c>
      <c r="L90" s="567">
        <f t="shared" si="12"/>
        <v>15.787101</v>
      </c>
      <c r="M90" s="567">
        <f t="shared" si="17"/>
        <v>0</v>
      </c>
      <c r="N90" s="567">
        <f t="shared" si="13"/>
        <v>13.145912999999998</v>
      </c>
      <c r="O90" s="567">
        <f t="shared" si="18"/>
        <v>0</v>
      </c>
      <c r="P90" s="568"/>
    </row>
    <row r="91" spans="1:16" s="291" customFormat="1" ht="30" customHeight="1" thickBot="1">
      <c r="A91" s="1182"/>
      <c r="B91" s="695"/>
      <c r="C91" s="297" t="s">
        <v>3876</v>
      </c>
      <c r="D91" s="298" t="s">
        <v>3925</v>
      </c>
      <c r="E91" s="491">
        <v>690.15</v>
      </c>
      <c r="F91" s="491">
        <f t="shared" si="0"/>
        <v>414.09</v>
      </c>
      <c r="G91" s="566">
        <f t="shared" si="14"/>
        <v>0</v>
      </c>
      <c r="H91" s="567">
        <f t="shared" si="10"/>
        <v>34.990605000000002</v>
      </c>
      <c r="I91" s="567">
        <f t="shared" si="15"/>
        <v>0</v>
      </c>
      <c r="J91" s="567">
        <f t="shared" si="11"/>
        <v>13.250879999999999</v>
      </c>
      <c r="K91" s="567">
        <f t="shared" si="16"/>
        <v>0</v>
      </c>
      <c r="L91" s="567">
        <f t="shared" si="12"/>
        <v>10.890566999999999</v>
      </c>
      <c r="M91" s="567">
        <f t="shared" si="17"/>
        <v>0</v>
      </c>
      <c r="N91" s="567">
        <f t="shared" si="13"/>
        <v>9.0685709999999986</v>
      </c>
      <c r="O91" s="567">
        <f t="shared" si="18"/>
        <v>0</v>
      </c>
      <c r="P91" s="568"/>
    </row>
    <row r="92" spans="1:16" s="291" customFormat="1" ht="13.5" thickBot="1">
      <c r="A92" s="1182"/>
      <c r="B92" s="695"/>
      <c r="C92" s="651" t="s">
        <v>257</v>
      </c>
      <c r="D92" s="298" t="s">
        <v>435</v>
      </c>
      <c r="E92" s="491">
        <v>1348</v>
      </c>
      <c r="F92" s="491">
        <f t="shared" si="0"/>
        <v>808.8</v>
      </c>
      <c r="G92" s="566">
        <f t="shared" si="14"/>
        <v>0</v>
      </c>
      <c r="H92" s="567">
        <f t="shared" si="10"/>
        <v>68.343599999999995</v>
      </c>
      <c r="I92" s="567">
        <f t="shared" si="15"/>
        <v>0</v>
      </c>
      <c r="J92" s="567">
        <f t="shared" si="11"/>
        <v>25.881599999999999</v>
      </c>
      <c r="K92" s="567">
        <f t="shared" si="16"/>
        <v>0</v>
      </c>
      <c r="L92" s="567">
        <f t="shared" si="12"/>
        <v>21.271439999999998</v>
      </c>
      <c r="M92" s="567">
        <f t="shared" si="17"/>
        <v>0</v>
      </c>
      <c r="N92" s="567">
        <f t="shared" si="13"/>
        <v>17.712719999999997</v>
      </c>
      <c r="O92" s="567">
        <f t="shared" si="18"/>
        <v>0</v>
      </c>
      <c r="P92" s="568"/>
    </row>
    <row r="93" spans="1:16" s="291" customFormat="1" ht="13.5" thickBot="1">
      <c r="A93" s="1182"/>
      <c r="B93" s="695"/>
      <c r="C93" s="297" t="s">
        <v>258</v>
      </c>
      <c r="D93" s="298" t="s">
        <v>223</v>
      </c>
      <c r="E93" s="491">
        <v>56.71</v>
      </c>
      <c r="F93" s="594">
        <f t="shared" si="0"/>
        <v>34.025999999999996</v>
      </c>
      <c r="G93" s="396">
        <f t="shared" si="14"/>
        <v>0</v>
      </c>
      <c r="H93" s="397">
        <f t="shared" si="10"/>
        <v>2.875197</v>
      </c>
      <c r="I93" s="397">
        <f t="shared" si="15"/>
        <v>0</v>
      </c>
      <c r="J93" s="397">
        <f t="shared" si="11"/>
        <v>1.0888319999999998</v>
      </c>
      <c r="K93" s="397">
        <f t="shared" si="16"/>
        <v>0</v>
      </c>
      <c r="L93" s="397">
        <f t="shared" si="12"/>
        <v>0.8948837999999999</v>
      </c>
      <c r="M93" s="397">
        <f t="shared" si="17"/>
        <v>0</v>
      </c>
      <c r="N93" s="397">
        <f t="shared" si="13"/>
        <v>0.74516939999999987</v>
      </c>
      <c r="O93" s="397">
        <f t="shared" si="18"/>
        <v>0</v>
      </c>
      <c r="P93" s="568"/>
    </row>
    <row r="94" spans="1:16" s="291" customFormat="1" ht="13.5" thickBot="1">
      <c r="A94" s="1182"/>
      <c r="B94" s="695"/>
      <c r="C94" s="297" t="s">
        <v>259</v>
      </c>
      <c r="D94" s="298" t="s">
        <v>436</v>
      </c>
      <c r="E94" s="491">
        <v>32.1</v>
      </c>
      <c r="F94" s="594">
        <f t="shared" si="0"/>
        <v>19.260000000000002</v>
      </c>
      <c r="G94" s="396">
        <f t="shared" si="14"/>
        <v>0</v>
      </c>
      <c r="H94" s="397">
        <f t="shared" si="10"/>
        <v>1.6274700000000002</v>
      </c>
      <c r="I94" s="397">
        <f t="shared" si="15"/>
        <v>0</v>
      </c>
      <c r="J94" s="397">
        <f t="shared" si="11"/>
        <v>0.61632000000000009</v>
      </c>
      <c r="K94" s="397">
        <f t="shared" si="16"/>
        <v>0</v>
      </c>
      <c r="L94" s="397">
        <f t="shared" si="12"/>
        <v>0.50653800000000004</v>
      </c>
      <c r="M94" s="397">
        <f t="shared" si="17"/>
        <v>0</v>
      </c>
      <c r="N94" s="397">
        <f t="shared" si="13"/>
        <v>0.421794</v>
      </c>
      <c r="O94" s="397">
        <f t="shared" si="18"/>
        <v>0</v>
      </c>
      <c r="P94" s="568"/>
    </row>
    <row r="95" spans="1:16" s="291" customFormat="1" ht="13.5" thickBot="1">
      <c r="A95" s="1182"/>
      <c r="B95" s="695"/>
      <c r="C95" s="297" t="s">
        <v>527</v>
      </c>
      <c r="D95" s="298" t="s">
        <v>224</v>
      </c>
      <c r="E95" s="491">
        <v>35.31</v>
      </c>
      <c r="F95" s="491">
        <f t="shared" si="0"/>
        <v>21.186</v>
      </c>
      <c r="G95" s="566">
        <f t="shared" si="14"/>
        <v>0</v>
      </c>
      <c r="H95" s="567">
        <f t="shared" si="10"/>
        <v>1.7902170000000002</v>
      </c>
      <c r="I95" s="567">
        <f t="shared" si="15"/>
        <v>0</v>
      </c>
      <c r="J95" s="567">
        <f t="shared" si="11"/>
        <v>0.677952</v>
      </c>
      <c r="K95" s="567">
        <f t="shared" si="16"/>
        <v>0</v>
      </c>
      <c r="L95" s="567">
        <f t="shared" si="12"/>
        <v>0.55719180000000001</v>
      </c>
      <c r="M95" s="567">
        <f t="shared" si="17"/>
        <v>0</v>
      </c>
      <c r="N95" s="567">
        <f t="shared" si="13"/>
        <v>0.46397339999999998</v>
      </c>
      <c r="O95" s="567">
        <f t="shared" si="18"/>
        <v>0</v>
      </c>
      <c r="P95" s="568"/>
    </row>
    <row r="96" spans="1:16" s="291" customFormat="1" ht="13.5" thickBot="1">
      <c r="A96" s="1182"/>
      <c r="B96" s="695"/>
      <c r="C96" s="565" t="s">
        <v>530</v>
      </c>
      <c r="D96" s="658" t="s">
        <v>3926</v>
      </c>
      <c r="E96" s="491">
        <v>306.02</v>
      </c>
      <c r="F96" s="491">
        <f t="shared" si="0"/>
        <v>183.61199999999999</v>
      </c>
      <c r="G96" s="566">
        <f t="shared" si="14"/>
        <v>0</v>
      </c>
      <c r="H96" s="567">
        <f t="shared" si="10"/>
        <v>15.515214</v>
      </c>
      <c r="I96" s="567">
        <f t="shared" si="15"/>
        <v>0</v>
      </c>
      <c r="J96" s="567">
        <f t="shared" si="11"/>
        <v>5.8755839999999999</v>
      </c>
      <c r="K96" s="567">
        <f t="shared" si="16"/>
        <v>0</v>
      </c>
      <c r="L96" s="567">
        <f t="shared" si="12"/>
        <v>4.8289955999999998</v>
      </c>
      <c r="M96" s="567">
        <f t="shared" si="17"/>
        <v>0</v>
      </c>
      <c r="N96" s="567">
        <f t="shared" si="13"/>
        <v>4.0211027999999995</v>
      </c>
      <c r="O96" s="567">
        <f t="shared" si="18"/>
        <v>0</v>
      </c>
      <c r="P96" s="568"/>
    </row>
    <row r="97" spans="1:16" s="291" customFormat="1" ht="13.5" thickBot="1">
      <c r="A97" s="1182"/>
      <c r="B97" s="695"/>
      <c r="C97" s="651" t="s">
        <v>3880</v>
      </c>
      <c r="D97" s="298" t="s">
        <v>225</v>
      </c>
      <c r="E97" s="491">
        <v>132.68</v>
      </c>
      <c r="F97" s="491">
        <f t="shared" si="0"/>
        <v>79.608000000000004</v>
      </c>
      <c r="G97" s="566">
        <f t="shared" si="14"/>
        <v>0</v>
      </c>
      <c r="H97" s="567">
        <f t="shared" si="10"/>
        <v>6.7268760000000007</v>
      </c>
      <c r="I97" s="567">
        <f t="shared" si="15"/>
        <v>0</v>
      </c>
      <c r="J97" s="567">
        <f t="shared" si="11"/>
        <v>2.5474560000000004</v>
      </c>
      <c r="K97" s="567">
        <f t="shared" si="16"/>
        <v>0</v>
      </c>
      <c r="L97" s="567">
        <f t="shared" si="12"/>
        <v>2.0936904000000003</v>
      </c>
      <c r="M97" s="567">
        <f t="shared" si="17"/>
        <v>0</v>
      </c>
      <c r="N97" s="567">
        <f t="shared" si="13"/>
        <v>1.7434152000000001</v>
      </c>
      <c r="O97" s="567">
        <f t="shared" si="18"/>
        <v>0</v>
      </c>
      <c r="P97" s="568"/>
    </row>
    <row r="98" spans="1:16" s="291" customFormat="1" ht="13.5" thickBot="1">
      <c r="A98" s="1050"/>
      <c r="B98" s="695"/>
      <c r="C98" s="297" t="s">
        <v>369</v>
      </c>
      <c r="D98" s="298" t="s">
        <v>3913</v>
      </c>
      <c r="E98" s="491">
        <v>5896.77</v>
      </c>
      <c r="F98" s="491">
        <f t="shared" si="0"/>
        <v>3538.0620000000004</v>
      </c>
      <c r="G98" s="566">
        <f t="shared" si="14"/>
        <v>0</v>
      </c>
      <c r="H98" s="567">
        <f t="shared" si="10"/>
        <v>298.96623900000003</v>
      </c>
      <c r="I98" s="567">
        <f t="shared" si="15"/>
        <v>0</v>
      </c>
      <c r="J98" s="567">
        <f t="shared" si="11"/>
        <v>113.21798400000002</v>
      </c>
      <c r="K98" s="567">
        <f t="shared" si="16"/>
        <v>0</v>
      </c>
      <c r="L98" s="567">
        <f t="shared" si="12"/>
        <v>93.051030600000004</v>
      </c>
      <c r="M98" s="567">
        <f t="shared" si="17"/>
        <v>0</v>
      </c>
      <c r="N98" s="567">
        <f t="shared" si="13"/>
        <v>77.4835578</v>
      </c>
      <c r="O98" s="567">
        <f t="shared" si="18"/>
        <v>0</v>
      </c>
      <c r="P98" s="568"/>
    </row>
    <row r="99" spans="1:16" s="315" customFormat="1" ht="15">
      <c r="C99" s="697"/>
      <c r="D99" s="1183" t="s">
        <v>65</v>
      </c>
      <c r="E99" s="1009"/>
      <c r="F99" s="1009"/>
      <c r="G99" s="328">
        <f t="array" ref="G99">SUM(G48:G98)+G36:G48:G98+G40:G48:G98+G44</f>
        <v>0</v>
      </c>
      <c r="H99" s="329" t="s">
        <v>66</v>
      </c>
      <c r="I99" s="328">
        <f t="array" ref="I99">SUM(I48:I98)+I36:I48:I98+I40:I48:I98+I44</f>
        <v>0</v>
      </c>
      <c r="J99" s="329" t="s">
        <v>67</v>
      </c>
      <c r="K99" s="328">
        <f t="array" ref="K99">SUM(K48:K98)+K36:K48:K98+K40:K48:K98+K44</f>
        <v>0</v>
      </c>
      <c r="L99" s="329" t="s">
        <v>68</v>
      </c>
      <c r="M99" s="328">
        <f t="array" ref="M99">SUM(M48:M98)+M36:M48:M98+M40:M48:M98+M44</f>
        <v>0</v>
      </c>
      <c r="N99" s="329" t="s">
        <v>69</v>
      </c>
      <c r="O99" s="328">
        <f t="array" ref="O99">SUM(O48:O98)+O36:O48:O98+O40:O48:O98+O44</f>
        <v>0</v>
      </c>
    </row>
    <row r="100" spans="1:16" s="315" customFormat="1" ht="14.25">
      <c r="C100" s="698"/>
      <c r="F100" s="456"/>
    </row>
    <row r="114" spans="3:3">
      <c r="C114" s="699"/>
    </row>
  </sheetData>
  <mergeCells count="55">
    <mergeCell ref="A27:D27"/>
    <mergeCell ref="E27:J27"/>
    <mergeCell ref="K27:O27"/>
    <mergeCell ref="A4:O4"/>
    <mergeCell ref="A5:O5"/>
    <mergeCell ref="F8:H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M40:M42"/>
    <mergeCell ref="I32:K32"/>
    <mergeCell ref="F34:G34"/>
    <mergeCell ref="H34:O34"/>
    <mergeCell ref="A36:A38"/>
    <mergeCell ref="B36:B38"/>
    <mergeCell ref="G36:G38"/>
    <mergeCell ref="I36:I38"/>
    <mergeCell ref="K36:K38"/>
    <mergeCell ref="M36:M38"/>
    <mergeCell ref="O36:O38"/>
    <mergeCell ref="A47:O47"/>
    <mergeCell ref="A48:A98"/>
    <mergeCell ref="D99:F99"/>
    <mergeCell ref="O40:O42"/>
    <mergeCell ref="A44:A46"/>
    <mergeCell ref="B44:B46"/>
    <mergeCell ref="G44:G46"/>
    <mergeCell ref="I44:I46"/>
    <mergeCell ref="K44:K46"/>
    <mergeCell ref="M44:M46"/>
    <mergeCell ref="O44:O46"/>
    <mergeCell ref="A40:A42"/>
    <mergeCell ref="B40:B42"/>
    <mergeCell ref="G40:G42"/>
    <mergeCell ref="I40:I42"/>
    <mergeCell ref="K40:K42"/>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3EF8B-9F53-48D7-8527-DA3C9445DF47}">
  <sheetPr>
    <tabColor indexed="62"/>
  </sheetPr>
  <dimension ref="A1:P212"/>
  <sheetViews>
    <sheetView topLeftCell="D23" zoomScale="89" zoomScaleNormal="89" workbookViewId="0">
      <selection activeCell="E37" sqref="E37"/>
    </sheetView>
  </sheetViews>
  <sheetFormatPr defaultColWidth="8.85546875" defaultRowHeight="12.75"/>
  <cols>
    <col min="1" max="1" width="14.28515625" style="256" customWidth="1"/>
    <col min="2" max="2" width="8.7109375" style="256" customWidth="1"/>
    <col min="3" max="3" width="19" style="256" customWidth="1"/>
    <col min="4" max="4" width="46.7109375" style="256" customWidth="1"/>
    <col min="5" max="5" width="24" style="256" customWidth="1"/>
    <col min="6" max="6" width="18.28515625" style="333" customWidth="1"/>
    <col min="7" max="7" width="16" style="333" customWidth="1"/>
    <col min="8" max="8" width="24.5703125" style="256" bestFit="1" customWidth="1"/>
    <col min="9" max="9" width="23" style="256" customWidth="1"/>
    <col min="10" max="10" width="25" style="256" bestFit="1" customWidth="1"/>
    <col min="11" max="11" width="23" style="256" customWidth="1"/>
    <col min="12" max="12" width="25" style="256" bestFit="1" customWidth="1"/>
    <col min="13" max="13" width="23" style="256" customWidth="1"/>
    <col min="14" max="14" width="25" style="256" bestFit="1" customWidth="1"/>
    <col min="15" max="15" width="23" style="256" customWidth="1"/>
    <col min="16" max="16" width="12.42578125" style="256" customWidth="1"/>
    <col min="17" max="16384" width="8.85546875" style="256"/>
  </cols>
  <sheetData>
    <row r="1" spans="1:15" ht="13.5" thickBot="1">
      <c r="B1" s="257"/>
      <c r="C1" s="257"/>
      <c r="D1" s="258"/>
      <c r="E1" s="258"/>
      <c r="F1" s="259"/>
      <c r="G1" s="259"/>
      <c r="H1" s="259"/>
      <c r="I1" s="259"/>
      <c r="J1" s="259"/>
      <c r="K1" s="258"/>
      <c r="L1" s="259"/>
    </row>
    <row r="2" spans="1:15" ht="9" customHeight="1">
      <c r="A2" s="260"/>
      <c r="B2" s="261"/>
      <c r="C2" s="261"/>
      <c r="D2" s="262"/>
      <c r="E2" s="262"/>
      <c r="F2" s="263"/>
      <c r="G2" s="263"/>
      <c r="H2" s="263"/>
      <c r="I2" s="264"/>
      <c r="J2" s="264"/>
      <c r="K2" s="264"/>
      <c r="L2" s="264"/>
      <c r="M2" s="260"/>
      <c r="N2" s="260"/>
      <c r="O2" s="260"/>
    </row>
    <row r="3" spans="1:15" ht="10.5" customHeight="1">
      <c r="B3" s="257"/>
      <c r="C3" s="257"/>
      <c r="D3" s="258"/>
      <c r="E3" s="258"/>
      <c r="F3" s="259"/>
      <c r="G3" s="259"/>
      <c r="H3" s="259"/>
      <c r="I3" s="265"/>
      <c r="J3" s="265"/>
      <c r="K3" s="265"/>
      <c r="L3" s="265"/>
    </row>
    <row r="4" spans="1:15" ht="36" customHeight="1">
      <c r="A4" s="1112" t="s">
        <v>404</v>
      </c>
      <c r="B4" s="1020"/>
      <c r="C4" s="1020"/>
      <c r="D4" s="1020"/>
      <c r="E4" s="1020"/>
      <c r="F4" s="1020"/>
      <c r="G4" s="1020"/>
      <c r="H4" s="1020"/>
      <c r="I4" s="1020"/>
      <c r="J4" s="1020"/>
      <c r="K4" s="1020"/>
      <c r="L4" s="1020"/>
      <c r="M4" s="1020"/>
      <c r="N4" s="1020"/>
      <c r="O4" s="1020"/>
    </row>
    <row r="5" spans="1:15" s="266" customFormat="1" ht="61.5" customHeight="1">
      <c r="A5" s="1044" t="s">
        <v>405</v>
      </c>
      <c r="B5" s="1045"/>
      <c r="C5" s="1045"/>
      <c r="D5" s="1045"/>
      <c r="E5" s="1045"/>
      <c r="F5" s="1045"/>
      <c r="G5" s="1045"/>
      <c r="H5" s="1045"/>
      <c r="I5" s="1045"/>
      <c r="J5" s="1045"/>
      <c r="K5" s="1045"/>
      <c r="L5" s="1045"/>
      <c r="M5" s="1045"/>
      <c r="N5" s="1045"/>
      <c r="O5" s="1045"/>
    </row>
    <row r="6" spans="1:15" ht="9" customHeight="1" thickBot="1">
      <c r="A6" s="267"/>
      <c r="B6" s="267"/>
      <c r="C6" s="267"/>
      <c r="D6" s="267"/>
      <c r="E6" s="267"/>
      <c r="F6" s="267"/>
      <c r="G6" s="267"/>
      <c r="H6" s="267"/>
      <c r="I6" s="267"/>
      <c r="J6" s="267"/>
      <c r="K6" s="267"/>
      <c r="L6" s="267"/>
      <c r="M6" s="267"/>
      <c r="N6" s="267"/>
      <c r="O6" s="267"/>
    </row>
    <row r="9" spans="1:15" s="265" customFormat="1" ht="14.25">
      <c r="B9" s="268"/>
      <c r="C9" s="268"/>
      <c r="D9" s="269"/>
      <c r="E9" s="269"/>
      <c r="F9" s="269"/>
      <c r="G9" s="269"/>
      <c r="H9" s="269"/>
      <c r="I9" s="269"/>
      <c r="J9" s="269"/>
      <c r="K9" s="269"/>
      <c r="L9" s="269"/>
      <c r="M9" s="269"/>
      <c r="N9" s="269"/>
      <c r="O9" s="269"/>
    </row>
    <row r="10" spans="1:15" s="265" customFormat="1" ht="14.25">
      <c r="F10" s="1046" t="s">
        <v>0</v>
      </c>
      <c r="G10" s="1046"/>
      <c r="H10" s="1046"/>
      <c r="I10" s="1020"/>
      <c r="J10" s="256"/>
      <c r="K10" s="256"/>
      <c r="L10" s="256"/>
    </row>
    <row r="11" spans="1:15" s="265" customFormat="1" ht="14.25">
      <c r="F11" s="270" t="s">
        <v>261</v>
      </c>
      <c r="G11" s="271" t="s">
        <v>262</v>
      </c>
      <c r="I11" s="272"/>
      <c r="L11" s="272"/>
    </row>
    <row r="12" spans="1:15" s="265" customFormat="1" ht="14.25">
      <c r="F12" s="270" t="s">
        <v>263</v>
      </c>
      <c r="G12" s="630" t="s">
        <v>264</v>
      </c>
      <c r="I12" s="272"/>
      <c r="J12" s="273"/>
      <c r="L12" s="272"/>
    </row>
    <row r="13" spans="1:15" s="265" customFormat="1" ht="14.25">
      <c r="F13" s="270" t="s">
        <v>265</v>
      </c>
      <c r="G13" s="630" t="s">
        <v>266</v>
      </c>
      <c r="I13" s="272"/>
      <c r="L13" s="272"/>
    </row>
    <row r="14" spans="1:15" s="265" customFormat="1" ht="14.25">
      <c r="F14" s="270" t="s">
        <v>7</v>
      </c>
      <c r="G14" s="265" t="s">
        <v>406</v>
      </c>
      <c r="I14" s="272"/>
      <c r="J14" s="272"/>
      <c r="L14" s="272"/>
    </row>
    <row r="15" spans="1:15" s="265" customFormat="1" ht="14.25">
      <c r="D15" s="274"/>
      <c r="E15" s="274"/>
      <c r="F15" s="270" t="s">
        <v>8</v>
      </c>
      <c r="G15" s="265" t="s">
        <v>407</v>
      </c>
      <c r="I15" s="272"/>
      <c r="J15" s="272"/>
      <c r="L15" s="272"/>
    </row>
    <row r="16" spans="1:15" s="265" customFormat="1" ht="14.25">
      <c r="F16" s="270" t="s">
        <v>10</v>
      </c>
      <c r="G16" s="265" t="s">
        <v>408</v>
      </c>
      <c r="I16" s="272"/>
      <c r="J16" s="272"/>
      <c r="L16" s="272"/>
    </row>
    <row r="17" spans="1:15" s="265" customFormat="1" ht="14.25">
      <c r="F17" s="270" t="s">
        <v>409</v>
      </c>
      <c r="G17" s="265" t="s">
        <v>410</v>
      </c>
      <c r="I17" s="272"/>
      <c r="J17" s="272"/>
      <c r="L17" s="272"/>
    </row>
    <row r="18" spans="1:15" s="265" customFormat="1" ht="14.25">
      <c r="F18" s="270" t="s">
        <v>185</v>
      </c>
      <c r="G18" s="265" t="s">
        <v>411</v>
      </c>
      <c r="I18" s="275"/>
      <c r="J18" s="275"/>
      <c r="L18" s="275"/>
    </row>
    <row r="19" spans="1:15" s="265" customFormat="1" ht="14.25">
      <c r="F19" s="270"/>
      <c r="G19" s="265" t="s">
        <v>412</v>
      </c>
      <c r="I19" s="275"/>
      <c r="J19" s="275"/>
      <c r="L19" s="275"/>
    </row>
    <row r="20" spans="1:15" s="265" customFormat="1" ht="14.25">
      <c r="F20" s="270" t="s">
        <v>14</v>
      </c>
      <c r="G20" s="265" t="s">
        <v>413</v>
      </c>
      <c r="I20" s="275"/>
      <c r="J20" s="275"/>
      <c r="L20" s="275"/>
    </row>
    <row r="21" spans="1:15" s="265" customFormat="1" ht="14.25">
      <c r="F21" s="276"/>
      <c r="G21" s="265" t="s">
        <v>414</v>
      </c>
      <c r="I21" s="275"/>
      <c r="J21" s="275"/>
      <c r="L21" s="275"/>
    </row>
    <row r="22" spans="1:15" s="265" customFormat="1" ht="14.25">
      <c r="F22" s="270" t="s">
        <v>18</v>
      </c>
      <c r="G22" s="265" t="s">
        <v>273</v>
      </c>
      <c r="I22" s="275"/>
      <c r="J22" s="275"/>
      <c r="L22" s="275"/>
    </row>
    <row r="23" spans="1:15" s="265" customFormat="1" ht="14.25">
      <c r="F23" s="270" t="s">
        <v>276</v>
      </c>
      <c r="G23" s="630" t="s">
        <v>277</v>
      </c>
      <c r="I23" s="275"/>
      <c r="J23" s="275"/>
      <c r="L23" s="275"/>
    </row>
    <row r="24" spans="1:15" s="265" customFormat="1" ht="14.25">
      <c r="F24" s="270" t="s">
        <v>26</v>
      </c>
      <c r="G24" s="265" t="s">
        <v>415</v>
      </c>
      <c r="I24" s="275"/>
      <c r="J24" s="275"/>
      <c r="L24" s="275"/>
    </row>
    <row r="25" spans="1:15" s="265" customFormat="1" ht="14.25">
      <c r="D25" s="277"/>
      <c r="E25" s="277"/>
      <c r="F25" s="270" t="s">
        <v>28</v>
      </c>
      <c r="G25" s="278" t="s">
        <v>416</v>
      </c>
      <c r="K25" s="275"/>
    </row>
    <row r="26" spans="1:15" s="265" customFormat="1" ht="15" thickBot="1">
      <c r="A26" s="1111" t="s">
        <v>30</v>
      </c>
      <c r="B26" s="1033"/>
      <c r="C26" s="1033"/>
      <c r="D26" s="1033"/>
      <c r="E26" s="1033"/>
      <c r="F26" s="1033"/>
      <c r="G26" s="1033"/>
      <c r="H26" s="1033"/>
      <c r="I26" s="1033"/>
      <c r="J26" s="1033"/>
      <c r="K26" s="1033"/>
      <c r="L26" s="1033"/>
      <c r="M26" s="1033"/>
      <c r="N26" s="1033"/>
      <c r="O26" s="1033"/>
    </row>
    <row r="27" spans="1:15" s="265" customFormat="1" ht="14.25">
      <c r="A27" s="1105" t="s">
        <v>417</v>
      </c>
      <c r="B27" s="1106"/>
      <c r="C27" s="1106"/>
      <c r="D27" s="1107"/>
      <c r="E27" s="1108" t="s">
        <v>418</v>
      </c>
      <c r="F27" s="1010"/>
      <c r="G27" s="1010"/>
      <c r="H27" s="1010"/>
      <c r="I27" s="1010"/>
      <c r="J27" s="1010"/>
      <c r="K27" s="1109"/>
      <c r="L27" s="1105" t="s">
        <v>419</v>
      </c>
      <c r="M27" s="1010"/>
      <c r="N27" s="1010"/>
      <c r="O27" s="1109"/>
    </row>
    <row r="28" spans="1:15" s="265" customFormat="1" ht="12.75" customHeight="1">
      <c r="A28" s="1028" t="s">
        <v>33</v>
      </c>
      <c r="B28" s="1029"/>
      <c r="C28" s="1029"/>
      <c r="D28" s="279" t="s">
        <v>34</v>
      </c>
      <c r="E28" s="1028" t="s">
        <v>33</v>
      </c>
      <c r="F28" s="1020"/>
      <c r="G28" s="1020"/>
      <c r="H28" s="1020"/>
      <c r="I28" s="1093" t="s">
        <v>35</v>
      </c>
      <c r="J28" s="1115"/>
      <c r="K28" s="1094"/>
      <c r="L28" s="1028" t="s">
        <v>33</v>
      </c>
      <c r="M28" s="1020"/>
      <c r="N28" s="1095" t="s">
        <v>35</v>
      </c>
      <c r="O28" s="1096"/>
    </row>
    <row r="29" spans="1:15" s="265" customFormat="1" ht="12.75" customHeight="1">
      <c r="A29" s="1028" t="s">
        <v>199</v>
      </c>
      <c r="B29" s="1029"/>
      <c r="C29" s="1029"/>
      <c r="D29" s="280">
        <v>0</v>
      </c>
      <c r="E29" s="1028" t="s">
        <v>199</v>
      </c>
      <c r="F29" s="1020"/>
      <c r="G29" s="1020"/>
      <c r="H29" s="1020"/>
      <c r="I29" s="1102">
        <v>856</v>
      </c>
      <c r="J29" s="1115"/>
      <c r="K29" s="1094"/>
      <c r="L29" s="1028" t="s">
        <v>199</v>
      </c>
      <c r="M29" s="1020"/>
      <c r="N29" s="1103">
        <v>1127</v>
      </c>
      <c r="O29" s="1104"/>
    </row>
    <row r="30" spans="1:15" s="265" customFormat="1" ht="12.75" customHeight="1">
      <c r="A30" s="1028" t="s">
        <v>37</v>
      </c>
      <c r="B30" s="1029"/>
      <c r="C30" s="1029"/>
      <c r="D30" s="279" t="s">
        <v>38</v>
      </c>
      <c r="E30" s="1028" t="s">
        <v>37</v>
      </c>
      <c r="F30" s="1020"/>
      <c r="G30" s="1020"/>
      <c r="H30" s="1020"/>
      <c r="I30" s="1093" t="s">
        <v>396</v>
      </c>
      <c r="J30" s="1115"/>
      <c r="K30" s="1094"/>
      <c r="L30" s="1028" t="s">
        <v>37</v>
      </c>
      <c r="M30" s="1020"/>
      <c r="N30" s="1095" t="s">
        <v>397</v>
      </c>
      <c r="O30" s="1096"/>
    </row>
    <row r="31" spans="1:15" s="265" customFormat="1" ht="12.75" customHeight="1">
      <c r="A31" s="1028" t="s">
        <v>202</v>
      </c>
      <c r="B31" s="1029"/>
      <c r="C31" s="1029"/>
      <c r="D31" s="279" t="s">
        <v>420</v>
      </c>
      <c r="E31" s="1028" t="s">
        <v>204</v>
      </c>
      <c r="F31" s="1020"/>
      <c r="G31" s="1020"/>
      <c r="H31" s="1020"/>
      <c r="I31" s="1093" t="s">
        <v>421</v>
      </c>
      <c r="J31" s="1115"/>
      <c r="K31" s="1094"/>
      <c r="L31" s="1028" t="s">
        <v>40</v>
      </c>
      <c r="M31" s="1020"/>
      <c r="N31" s="1095" t="s">
        <v>421</v>
      </c>
      <c r="O31" s="1096"/>
    </row>
    <row r="32" spans="1:15" s="265" customFormat="1" ht="12.75" customHeight="1" thickBot="1">
      <c r="A32" s="1031" t="s">
        <v>285</v>
      </c>
      <c r="B32" s="1032"/>
      <c r="C32" s="1032"/>
      <c r="D32" s="281" t="s">
        <v>286</v>
      </c>
      <c r="E32" s="1031" t="s">
        <v>285</v>
      </c>
      <c r="F32" s="1032"/>
      <c r="G32" s="1033"/>
      <c r="H32" s="1033"/>
      <c r="I32" s="1097" t="s">
        <v>287</v>
      </c>
      <c r="J32" s="1097"/>
      <c r="K32" s="1116"/>
      <c r="L32" s="1031" t="s">
        <v>285</v>
      </c>
      <c r="M32" s="1033"/>
      <c r="N32" s="1033" t="s">
        <v>287</v>
      </c>
      <c r="O32" s="1034"/>
    </row>
    <row r="33" spans="1:15" s="265" customFormat="1" ht="12.75" customHeight="1">
      <c r="B33" s="282"/>
      <c r="C33" s="282"/>
      <c r="D33" s="277"/>
      <c r="E33" s="277"/>
      <c r="F33" s="283"/>
      <c r="G33" s="283"/>
      <c r="I33" s="266"/>
      <c r="J33" s="266"/>
      <c r="K33" s="266"/>
      <c r="L33" s="266"/>
    </row>
    <row r="34" spans="1:15" s="265" customFormat="1" ht="18" customHeight="1" thickBot="1">
      <c r="C34" s="277"/>
      <c r="D34" s="283"/>
      <c r="E34" s="284"/>
      <c r="F34" s="256"/>
      <c r="G34" s="285"/>
      <c r="H34" s="286"/>
      <c r="I34" s="287"/>
      <c r="J34" s="288"/>
    </row>
    <row r="35" spans="1:15" s="265" customFormat="1" ht="15.75" customHeight="1" thickBot="1">
      <c r="F35" s="1021" t="s">
        <v>43</v>
      </c>
      <c r="G35" s="1022"/>
      <c r="H35" s="1023" t="s">
        <v>44</v>
      </c>
      <c r="I35" s="1024"/>
      <c r="J35" s="1101"/>
      <c r="K35" s="1003"/>
      <c r="L35" s="1003"/>
      <c r="M35" s="1003"/>
      <c r="N35" s="1003"/>
      <c r="O35" s="1025"/>
    </row>
    <row r="36" spans="1:15" s="291" customFormat="1" ht="57.75" customHeight="1" thickBot="1">
      <c r="A36" s="289" t="s">
        <v>45</v>
      </c>
      <c r="B36" s="289" t="s">
        <v>46</v>
      </c>
      <c r="C36" s="290" t="s">
        <v>47</v>
      </c>
      <c r="D36" s="290" t="s">
        <v>48</v>
      </c>
      <c r="E36" s="290" t="s">
        <v>49</v>
      </c>
      <c r="F36" s="290" t="s">
        <v>50</v>
      </c>
      <c r="G36" s="289" t="s">
        <v>51</v>
      </c>
      <c r="H36" s="290" t="s">
        <v>52</v>
      </c>
      <c r="I36" s="289" t="s">
        <v>51</v>
      </c>
      <c r="J36" s="290" t="s">
        <v>53</v>
      </c>
      <c r="K36" s="289" t="s">
        <v>51</v>
      </c>
      <c r="L36" s="290" t="s">
        <v>54</v>
      </c>
      <c r="M36" s="289" t="s">
        <v>51</v>
      </c>
      <c r="N36" s="290" t="s">
        <v>55</v>
      </c>
      <c r="O36" s="289" t="s">
        <v>51</v>
      </c>
    </row>
    <row r="37" spans="1:15" s="296" customFormat="1" ht="26.25" thickBot="1">
      <c r="A37" s="1089">
        <v>15</v>
      </c>
      <c r="B37" s="1190"/>
      <c r="C37" s="341" t="s">
        <v>422</v>
      </c>
      <c r="D37" s="342" t="s">
        <v>423</v>
      </c>
      <c r="E37" s="708">
        <v>32752.7</v>
      </c>
      <c r="F37" s="293">
        <f>SUM(E37:E39)*(1-82%)</f>
        <v>5992.8660000000009</v>
      </c>
      <c r="G37" s="1026">
        <f>F37*B37</f>
        <v>0</v>
      </c>
      <c r="H37" s="294">
        <f>F37*0.0845</f>
        <v>506.39717700000011</v>
      </c>
      <c r="I37" s="1026">
        <f>H37*B37</f>
        <v>0</v>
      </c>
      <c r="J37" s="294">
        <f>F37*0.032</f>
        <v>191.77171200000004</v>
      </c>
      <c r="K37" s="1026">
        <f>J37*B37</f>
        <v>0</v>
      </c>
      <c r="L37" s="295">
        <f>F37*0.0263</f>
        <v>157.61237580000002</v>
      </c>
      <c r="M37" s="1026">
        <f>L37*B37</f>
        <v>0</v>
      </c>
      <c r="N37" s="295">
        <f>F37*0.0219</f>
        <v>131.24376540000003</v>
      </c>
      <c r="O37" s="1026">
        <f>N37*B37</f>
        <v>0</v>
      </c>
    </row>
    <row r="38" spans="1:15" s="302" customFormat="1" ht="13.5" thickBot="1">
      <c r="A38" s="1189"/>
      <c r="B38" s="1119"/>
      <c r="C38" s="297" t="s">
        <v>307</v>
      </c>
      <c r="D38" s="298" t="s">
        <v>240</v>
      </c>
      <c r="E38" s="299">
        <v>282</v>
      </c>
      <c r="F38" s="300" t="s">
        <v>35</v>
      </c>
      <c r="G38" s="1119"/>
      <c r="H38" s="300" t="s">
        <v>35</v>
      </c>
      <c r="I38" s="1119"/>
      <c r="J38" s="300" t="s">
        <v>35</v>
      </c>
      <c r="K38" s="1119"/>
      <c r="L38" s="301" t="s">
        <v>35</v>
      </c>
      <c r="M38" s="1119"/>
      <c r="N38" s="301" t="s">
        <v>35</v>
      </c>
      <c r="O38" s="1119"/>
    </row>
    <row r="39" spans="1:15" s="302" customFormat="1" ht="13.5" thickBot="1">
      <c r="A39" s="1191"/>
      <c r="B39" s="1119"/>
      <c r="C39" s="303" t="s">
        <v>56</v>
      </c>
      <c r="D39" s="304" t="s">
        <v>424</v>
      </c>
      <c r="E39" s="685">
        <v>259</v>
      </c>
      <c r="F39" s="306" t="s">
        <v>35</v>
      </c>
      <c r="G39" s="1119"/>
      <c r="H39" s="306" t="s">
        <v>35</v>
      </c>
      <c r="I39" s="1119"/>
      <c r="J39" s="306" t="s">
        <v>35</v>
      </c>
      <c r="K39" s="1119"/>
      <c r="L39" s="527" t="s">
        <v>35</v>
      </c>
      <c r="M39" s="1017"/>
      <c r="N39" s="301" t="s">
        <v>35</v>
      </c>
      <c r="O39" s="1017"/>
    </row>
    <row r="40" spans="1:15" s="302" customFormat="1" ht="13.5" thickBot="1">
      <c r="A40" s="307"/>
      <c r="B40" s="308"/>
      <c r="C40" s="309"/>
      <c r="D40" s="310"/>
      <c r="E40" s="564"/>
      <c r="F40" s="312"/>
      <c r="G40" s="308"/>
      <c r="H40" s="312"/>
      <c r="I40" s="308"/>
      <c r="J40" s="312"/>
      <c r="K40" s="313"/>
      <c r="L40" s="314"/>
      <c r="M40" s="308"/>
      <c r="N40" s="314"/>
      <c r="O40" s="313"/>
    </row>
    <row r="41" spans="1:15" s="296" customFormat="1" ht="26.25" thickBot="1">
      <c r="A41" s="1089" t="s">
        <v>425</v>
      </c>
      <c r="B41" s="1190"/>
      <c r="C41" s="341" t="s">
        <v>422</v>
      </c>
      <c r="D41" s="342" t="s">
        <v>423</v>
      </c>
      <c r="E41" s="708">
        <v>32752.7</v>
      </c>
      <c r="F41" s="293">
        <f>SUM(E41:E43)*(1-82%)</f>
        <v>5992.8660000000009</v>
      </c>
      <c r="G41" s="1011">
        <f>F41*B41</f>
        <v>0</v>
      </c>
      <c r="H41" s="29">
        <f>F41*0.0845+I29/12</f>
        <v>577.73051033333343</v>
      </c>
      <c r="I41" s="1011">
        <f>H41*B41</f>
        <v>0</v>
      </c>
      <c r="J41" s="29">
        <f>F41*0.032+I29/12</f>
        <v>263.10504533333335</v>
      </c>
      <c r="K41" s="1011">
        <f>J41*B41</f>
        <v>0</v>
      </c>
      <c r="L41" s="30">
        <f>F41*0.0263+I29/12</f>
        <v>228.94570913333337</v>
      </c>
      <c r="M41" s="1011">
        <f>L41*B41</f>
        <v>0</v>
      </c>
      <c r="N41" s="30">
        <f>F41*0.0219+I29/12</f>
        <v>202.57709873333334</v>
      </c>
      <c r="O41" s="1011">
        <f>N41*B41</f>
        <v>0</v>
      </c>
    </row>
    <row r="42" spans="1:15" s="302" customFormat="1" ht="13.5" thickBot="1">
      <c r="A42" s="1189"/>
      <c r="B42" s="1119"/>
      <c r="C42" s="297" t="s">
        <v>307</v>
      </c>
      <c r="D42" s="298" t="s">
        <v>240</v>
      </c>
      <c r="E42" s="299">
        <v>282</v>
      </c>
      <c r="F42" s="300" t="s">
        <v>35</v>
      </c>
      <c r="G42" s="1084"/>
      <c r="H42" s="31" t="s">
        <v>35</v>
      </c>
      <c r="I42" s="1084"/>
      <c r="J42" s="31" t="s">
        <v>35</v>
      </c>
      <c r="K42" s="1084"/>
      <c r="L42" s="32" t="s">
        <v>35</v>
      </c>
      <c r="M42" s="1084"/>
      <c r="N42" s="32" t="s">
        <v>35</v>
      </c>
      <c r="O42" s="1084"/>
    </row>
    <row r="43" spans="1:15" s="302" customFormat="1" ht="13.5" thickBot="1">
      <c r="A43" s="1189"/>
      <c r="B43" s="1119"/>
      <c r="C43" s="303" t="s">
        <v>56</v>
      </c>
      <c r="D43" s="304" t="s">
        <v>424</v>
      </c>
      <c r="E43" s="685">
        <v>259</v>
      </c>
      <c r="F43" s="306" t="s">
        <v>35</v>
      </c>
      <c r="G43" s="1119"/>
      <c r="H43" s="300" t="s">
        <v>35</v>
      </c>
      <c r="I43" s="1119"/>
      <c r="J43" s="300" t="s">
        <v>35</v>
      </c>
      <c r="K43" s="1119"/>
      <c r="L43" s="301" t="s">
        <v>35</v>
      </c>
      <c r="M43" s="1119"/>
      <c r="N43" s="301" t="s">
        <v>35</v>
      </c>
      <c r="O43" s="1119"/>
    </row>
    <row r="44" spans="1:15" s="302" customFormat="1" ht="13.5" thickBot="1">
      <c r="A44" s="307"/>
      <c r="B44" s="308"/>
      <c r="C44" s="309"/>
      <c r="D44" s="310"/>
      <c r="E44" s="564"/>
      <c r="F44" s="33"/>
      <c r="G44" s="34"/>
      <c r="H44" s="33"/>
      <c r="I44" s="34"/>
      <c r="J44" s="33"/>
      <c r="K44" s="35"/>
      <c r="L44" s="36"/>
      <c r="M44" s="34"/>
      <c r="N44" s="36"/>
      <c r="O44" s="35"/>
    </row>
    <row r="45" spans="1:15" s="296" customFormat="1" ht="26.25" thickBot="1">
      <c r="A45" s="1089" t="s">
        <v>426</v>
      </c>
      <c r="B45" s="1190"/>
      <c r="C45" s="341" t="s">
        <v>422</v>
      </c>
      <c r="D45" s="342" t="s">
        <v>423</v>
      </c>
      <c r="E45" s="708">
        <v>32752.7</v>
      </c>
      <c r="F45" s="293">
        <f>SUM(E45:E47)*(1-82%)</f>
        <v>5992.8660000000009</v>
      </c>
      <c r="G45" s="1011">
        <f>F45*B45</f>
        <v>0</v>
      </c>
      <c r="H45" s="29">
        <f>F45*0.0845+N29/12</f>
        <v>600.3138436666668</v>
      </c>
      <c r="I45" s="1011">
        <f>H45*B45</f>
        <v>0</v>
      </c>
      <c r="J45" s="29">
        <f>F45*0.032+N29/12</f>
        <v>285.68837866666672</v>
      </c>
      <c r="K45" s="1011">
        <f>J45*B45</f>
        <v>0</v>
      </c>
      <c r="L45" s="30">
        <f>F45*0.0263+N29/12</f>
        <v>251.52904246666668</v>
      </c>
      <c r="M45" s="1011">
        <f>L45*B45</f>
        <v>0</v>
      </c>
      <c r="N45" s="30">
        <f>F45*0.0219+N29/12</f>
        <v>225.16043206666671</v>
      </c>
      <c r="O45" s="1011">
        <f>N45*B45</f>
        <v>0</v>
      </c>
    </row>
    <row r="46" spans="1:15" s="302" customFormat="1" ht="13.5" thickBot="1">
      <c r="A46" s="1189"/>
      <c r="B46" s="1119"/>
      <c r="C46" s="297" t="s">
        <v>307</v>
      </c>
      <c r="D46" s="298" t="s">
        <v>240</v>
      </c>
      <c r="E46" s="299">
        <v>282</v>
      </c>
      <c r="F46" s="300" t="s">
        <v>35</v>
      </c>
      <c r="G46" s="1119"/>
      <c r="H46" s="300" t="s">
        <v>35</v>
      </c>
      <c r="I46" s="1119"/>
      <c r="J46" s="300" t="s">
        <v>35</v>
      </c>
      <c r="K46" s="1119"/>
      <c r="L46" s="301" t="s">
        <v>35</v>
      </c>
      <c r="M46" s="1119"/>
      <c r="N46" s="301" t="s">
        <v>35</v>
      </c>
      <c r="O46" s="1119"/>
    </row>
    <row r="47" spans="1:15" s="302" customFormat="1" ht="13.5" thickBot="1">
      <c r="A47" s="1189"/>
      <c r="B47" s="1119"/>
      <c r="C47" s="303" t="s">
        <v>56</v>
      </c>
      <c r="D47" s="304" t="s">
        <v>424</v>
      </c>
      <c r="E47" s="685">
        <v>259</v>
      </c>
      <c r="F47" s="37" t="s">
        <v>35</v>
      </c>
      <c r="G47" s="1084"/>
      <c r="H47" s="31" t="s">
        <v>35</v>
      </c>
      <c r="I47" s="1084"/>
      <c r="J47" s="31" t="s">
        <v>35</v>
      </c>
      <c r="K47" s="1084"/>
      <c r="L47" s="32" t="s">
        <v>35</v>
      </c>
      <c r="M47" s="1084"/>
      <c r="N47" s="32" t="s">
        <v>35</v>
      </c>
      <c r="O47" s="1084"/>
    </row>
    <row r="48" spans="1:15" s="315" customFormat="1" ht="13.5" customHeight="1" thickBot="1">
      <c r="A48" s="1129" t="s">
        <v>59</v>
      </c>
      <c r="B48" s="1003"/>
      <c r="C48" s="1003"/>
      <c r="D48" s="1003"/>
      <c r="E48" s="1003"/>
      <c r="F48" s="1004"/>
      <c r="G48" s="1004"/>
      <c r="H48" s="1004"/>
      <c r="I48" s="1004"/>
      <c r="J48" s="1004"/>
      <c r="K48" s="1004"/>
      <c r="L48" s="1004"/>
      <c r="M48" s="1004"/>
      <c r="N48" s="1004"/>
      <c r="O48" s="1005"/>
    </row>
    <row r="49" spans="1:16" s="302" customFormat="1" ht="13.5" thickBot="1">
      <c r="A49" s="1086"/>
      <c r="B49" s="319"/>
      <c r="C49" s="340" t="s">
        <v>103</v>
      </c>
      <c r="D49" s="337" t="s">
        <v>104</v>
      </c>
      <c r="E49" s="338">
        <v>129.99</v>
      </c>
      <c r="F49" s="320">
        <f t="shared" ref="F49:F106" si="0">E49*(1-40%)</f>
        <v>77.994</v>
      </c>
      <c r="G49" s="322">
        <f t="shared" ref="G49:G106" si="1">F49*B49</f>
        <v>0</v>
      </c>
      <c r="H49" s="321">
        <f t="shared" ref="H49:H77" si="2">F49*0.0845</f>
        <v>6.5904930000000004</v>
      </c>
      <c r="I49" s="321">
        <f t="shared" ref="I49:I106" si="3">H49*B49</f>
        <v>0</v>
      </c>
      <c r="J49" s="321">
        <f t="shared" ref="J49:J77" si="4">F49*0.032</f>
        <v>2.4958080000000002</v>
      </c>
      <c r="K49" s="321">
        <f t="shared" ref="K49:K106" si="5">J49*B49</f>
        <v>0</v>
      </c>
      <c r="L49" s="321">
        <f t="shared" ref="L49:L77" si="6">F49*0.0263</f>
        <v>2.0512421999999999</v>
      </c>
      <c r="M49" s="321">
        <f t="shared" ref="M49:M106" si="7">L49*B49</f>
        <v>0</v>
      </c>
      <c r="N49" s="321">
        <f t="shared" ref="N49:N77" si="8">F49*0.0219</f>
        <v>1.7080686</v>
      </c>
      <c r="O49" s="321">
        <f t="shared" ref="O49:O106" si="9">N49*B49</f>
        <v>0</v>
      </c>
      <c r="P49" s="526"/>
    </row>
    <row r="50" spans="1:16" s="315" customFormat="1" ht="26.25" thickBot="1">
      <c r="A50" s="1086"/>
      <c r="B50" s="317"/>
      <c r="C50" s="336" t="s">
        <v>105</v>
      </c>
      <c r="D50" s="337" t="s">
        <v>325</v>
      </c>
      <c r="E50" s="338">
        <v>399</v>
      </c>
      <c r="F50" s="320">
        <f t="shared" si="0"/>
        <v>239.39999999999998</v>
      </c>
      <c r="G50" s="322">
        <f t="shared" si="1"/>
        <v>0</v>
      </c>
      <c r="H50" s="321">
        <f t="shared" si="2"/>
        <v>20.229299999999999</v>
      </c>
      <c r="I50" s="321">
        <f t="shared" si="3"/>
        <v>0</v>
      </c>
      <c r="J50" s="321">
        <f t="shared" si="4"/>
        <v>7.6607999999999992</v>
      </c>
      <c r="K50" s="321">
        <f t="shared" si="5"/>
        <v>0</v>
      </c>
      <c r="L50" s="321">
        <f t="shared" si="6"/>
        <v>6.2962199999999999</v>
      </c>
      <c r="M50" s="321">
        <f t="shared" si="7"/>
        <v>0</v>
      </c>
      <c r="N50" s="321">
        <f t="shared" si="8"/>
        <v>5.2428599999999994</v>
      </c>
      <c r="O50" s="321">
        <f t="shared" si="9"/>
        <v>0</v>
      </c>
      <c r="P50" s="526"/>
    </row>
    <row r="51" spans="1:16" s="315" customFormat="1" ht="13.5" thickBot="1">
      <c r="A51" s="1086"/>
      <c r="B51" s="318"/>
      <c r="C51" s="336" t="s">
        <v>107</v>
      </c>
      <c r="D51" s="337" t="s">
        <v>108</v>
      </c>
      <c r="E51" s="338">
        <v>250</v>
      </c>
      <c r="F51" s="320">
        <f t="shared" si="0"/>
        <v>150</v>
      </c>
      <c r="G51" s="322">
        <f t="shared" si="1"/>
        <v>0</v>
      </c>
      <c r="H51" s="321">
        <f t="shared" si="2"/>
        <v>12.675000000000001</v>
      </c>
      <c r="I51" s="321">
        <f t="shared" si="3"/>
        <v>0</v>
      </c>
      <c r="J51" s="321">
        <f t="shared" si="4"/>
        <v>4.8</v>
      </c>
      <c r="K51" s="321">
        <f t="shared" si="5"/>
        <v>0</v>
      </c>
      <c r="L51" s="321">
        <f t="shared" si="6"/>
        <v>3.9450000000000003</v>
      </c>
      <c r="M51" s="321">
        <f t="shared" si="7"/>
        <v>0</v>
      </c>
      <c r="N51" s="321">
        <f t="shared" si="8"/>
        <v>3.2849999999999997</v>
      </c>
      <c r="O51" s="321">
        <f t="shared" si="9"/>
        <v>0</v>
      </c>
      <c r="P51" s="526"/>
    </row>
    <row r="52" spans="1:16" s="315" customFormat="1" ht="13.5" thickBot="1">
      <c r="A52" s="1086"/>
      <c r="B52" s="318"/>
      <c r="C52" s="475" t="s">
        <v>109</v>
      </c>
      <c r="D52" s="477" t="s">
        <v>110</v>
      </c>
      <c r="E52" s="479">
        <v>400</v>
      </c>
      <c r="F52" s="320">
        <f t="shared" si="0"/>
        <v>240</v>
      </c>
      <c r="G52" s="322">
        <f t="shared" si="1"/>
        <v>0</v>
      </c>
      <c r="H52" s="321">
        <f t="shared" si="2"/>
        <v>20.28</v>
      </c>
      <c r="I52" s="343">
        <f t="shared" si="3"/>
        <v>0</v>
      </c>
      <c r="J52" s="321">
        <f t="shared" si="4"/>
        <v>7.68</v>
      </c>
      <c r="K52" s="343">
        <f t="shared" si="5"/>
        <v>0</v>
      </c>
      <c r="L52" s="321">
        <f t="shared" si="6"/>
        <v>6.3120000000000003</v>
      </c>
      <c r="M52" s="343">
        <f t="shared" si="7"/>
        <v>0</v>
      </c>
      <c r="N52" s="321">
        <f t="shared" si="8"/>
        <v>5.2560000000000002</v>
      </c>
      <c r="O52" s="343">
        <f t="shared" si="9"/>
        <v>0</v>
      </c>
      <c r="P52" s="526"/>
    </row>
    <row r="53" spans="1:16" s="315" customFormat="1" ht="13.5" thickBot="1">
      <c r="A53" s="1086"/>
      <c r="B53" s="317"/>
      <c r="C53" s="336" t="s">
        <v>111</v>
      </c>
      <c r="D53" s="337" t="s">
        <v>112</v>
      </c>
      <c r="E53" s="338">
        <v>499</v>
      </c>
      <c r="F53" s="320">
        <f t="shared" si="0"/>
        <v>299.39999999999998</v>
      </c>
      <c r="G53" s="322">
        <f t="shared" si="1"/>
        <v>0</v>
      </c>
      <c r="H53" s="321">
        <f t="shared" si="2"/>
        <v>25.299299999999999</v>
      </c>
      <c r="I53" s="321">
        <f t="shared" si="3"/>
        <v>0</v>
      </c>
      <c r="J53" s="321">
        <f t="shared" si="4"/>
        <v>9.5808</v>
      </c>
      <c r="K53" s="321">
        <f t="shared" si="5"/>
        <v>0</v>
      </c>
      <c r="L53" s="321">
        <f t="shared" si="6"/>
        <v>7.8742199999999993</v>
      </c>
      <c r="M53" s="321">
        <f t="shared" si="7"/>
        <v>0</v>
      </c>
      <c r="N53" s="321">
        <f t="shared" si="8"/>
        <v>6.5568599999999995</v>
      </c>
      <c r="O53" s="321">
        <f t="shared" si="9"/>
        <v>0</v>
      </c>
      <c r="P53" s="526"/>
    </row>
    <row r="54" spans="1:16" s="315" customFormat="1" ht="13.5" thickBot="1">
      <c r="A54" s="1086"/>
      <c r="B54" s="318"/>
      <c r="C54" s="336" t="s">
        <v>77</v>
      </c>
      <c r="D54" s="337" t="s">
        <v>169</v>
      </c>
      <c r="E54" s="338">
        <v>329</v>
      </c>
      <c r="F54" s="320">
        <f t="shared" si="0"/>
        <v>197.4</v>
      </c>
      <c r="G54" s="322">
        <f t="shared" si="1"/>
        <v>0</v>
      </c>
      <c r="H54" s="321">
        <f t="shared" si="2"/>
        <v>16.680300000000003</v>
      </c>
      <c r="I54" s="321">
        <f t="shared" si="3"/>
        <v>0</v>
      </c>
      <c r="J54" s="321">
        <f t="shared" si="4"/>
        <v>6.3168000000000006</v>
      </c>
      <c r="K54" s="321">
        <f t="shared" si="5"/>
        <v>0</v>
      </c>
      <c r="L54" s="321">
        <f t="shared" si="6"/>
        <v>5.1916200000000003</v>
      </c>
      <c r="M54" s="321">
        <f t="shared" si="7"/>
        <v>0</v>
      </c>
      <c r="N54" s="321">
        <f t="shared" si="8"/>
        <v>4.3230599999999999</v>
      </c>
      <c r="O54" s="321">
        <f t="shared" si="9"/>
        <v>0</v>
      </c>
      <c r="P54" s="526"/>
    </row>
    <row r="55" spans="1:16" s="315" customFormat="1" ht="13.5" thickBot="1">
      <c r="A55" s="1086"/>
      <c r="B55" s="319"/>
      <c r="C55" s="336" t="s">
        <v>292</v>
      </c>
      <c r="D55" s="337" t="s">
        <v>427</v>
      </c>
      <c r="E55" s="338">
        <v>1044.75</v>
      </c>
      <c r="F55" s="320">
        <f t="shared" si="0"/>
        <v>626.85</v>
      </c>
      <c r="G55" s="322">
        <f t="shared" si="1"/>
        <v>0</v>
      </c>
      <c r="H55" s="321">
        <f t="shared" si="2"/>
        <v>52.968825000000002</v>
      </c>
      <c r="I55" s="321">
        <f t="shared" si="3"/>
        <v>0</v>
      </c>
      <c r="J55" s="321">
        <f t="shared" si="4"/>
        <v>20.059200000000001</v>
      </c>
      <c r="K55" s="321">
        <f t="shared" si="5"/>
        <v>0</v>
      </c>
      <c r="L55" s="321">
        <f t="shared" si="6"/>
        <v>16.486155</v>
      </c>
      <c r="M55" s="321">
        <f t="shared" si="7"/>
        <v>0</v>
      </c>
      <c r="N55" s="321">
        <f t="shared" si="8"/>
        <v>13.728014999999999</v>
      </c>
      <c r="O55" s="321">
        <f t="shared" si="9"/>
        <v>0</v>
      </c>
      <c r="P55" s="526"/>
    </row>
    <row r="56" spans="1:16" s="315" customFormat="1" ht="13.5" thickBot="1">
      <c r="A56" s="1086"/>
      <c r="B56" s="316"/>
      <c r="C56" s="336" t="s">
        <v>293</v>
      </c>
      <c r="D56" s="337" t="s">
        <v>3927</v>
      </c>
      <c r="E56" s="338">
        <v>1044.75</v>
      </c>
      <c r="F56" s="320">
        <f t="shared" si="0"/>
        <v>626.85</v>
      </c>
      <c r="G56" s="322">
        <f t="shared" si="1"/>
        <v>0</v>
      </c>
      <c r="H56" s="321">
        <f t="shared" si="2"/>
        <v>52.968825000000002</v>
      </c>
      <c r="I56" s="321">
        <f t="shared" si="3"/>
        <v>0</v>
      </c>
      <c r="J56" s="321">
        <f t="shared" si="4"/>
        <v>20.059200000000001</v>
      </c>
      <c r="K56" s="321">
        <f t="shared" si="5"/>
        <v>0</v>
      </c>
      <c r="L56" s="321">
        <f t="shared" si="6"/>
        <v>16.486155</v>
      </c>
      <c r="M56" s="321">
        <f t="shared" si="7"/>
        <v>0</v>
      </c>
      <c r="N56" s="321">
        <f t="shared" si="8"/>
        <v>13.728014999999999</v>
      </c>
      <c r="O56" s="321">
        <f t="shared" si="9"/>
        <v>0</v>
      </c>
      <c r="P56" s="526"/>
    </row>
    <row r="57" spans="1:16" s="315" customFormat="1" ht="13.5" thickBot="1">
      <c r="A57" s="1086"/>
      <c r="B57" s="325"/>
      <c r="C57" s="340" t="s">
        <v>294</v>
      </c>
      <c r="D57" s="337" t="s">
        <v>428</v>
      </c>
      <c r="E57" s="338">
        <v>5676.3</v>
      </c>
      <c r="F57" s="320">
        <f t="shared" si="0"/>
        <v>3405.78</v>
      </c>
      <c r="G57" s="322">
        <f t="shared" si="1"/>
        <v>0</v>
      </c>
      <c r="H57" s="321">
        <f t="shared" si="2"/>
        <v>287.78841000000006</v>
      </c>
      <c r="I57" s="321">
        <f t="shared" si="3"/>
        <v>0</v>
      </c>
      <c r="J57" s="321">
        <f t="shared" si="4"/>
        <v>108.98496000000002</v>
      </c>
      <c r="K57" s="321">
        <f t="shared" si="5"/>
        <v>0</v>
      </c>
      <c r="L57" s="321">
        <f t="shared" si="6"/>
        <v>89.57201400000001</v>
      </c>
      <c r="M57" s="321">
        <f t="shared" si="7"/>
        <v>0</v>
      </c>
      <c r="N57" s="321">
        <f t="shared" si="8"/>
        <v>74.586582000000007</v>
      </c>
      <c r="O57" s="321">
        <f t="shared" si="9"/>
        <v>0</v>
      </c>
      <c r="P57" s="526"/>
    </row>
    <row r="58" spans="1:16" s="315" customFormat="1" ht="13.5" thickBot="1">
      <c r="A58" s="1086"/>
      <c r="B58" s="316"/>
      <c r="C58" s="339" t="s">
        <v>241</v>
      </c>
      <c r="D58" s="337" t="s">
        <v>3853</v>
      </c>
      <c r="E58" s="338">
        <v>235.4</v>
      </c>
      <c r="F58" s="320">
        <f t="shared" si="0"/>
        <v>141.24</v>
      </c>
      <c r="G58" s="322">
        <f t="shared" si="1"/>
        <v>0</v>
      </c>
      <c r="H58" s="321">
        <f t="shared" si="2"/>
        <v>11.934780000000002</v>
      </c>
      <c r="I58" s="321">
        <f t="shared" si="3"/>
        <v>0</v>
      </c>
      <c r="J58" s="321">
        <f t="shared" si="4"/>
        <v>4.5196800000000001</v>
      </c>
      <c r="K58" s="321">
        <f t="shared" si="5"/>
        <v>0</v>
      </c>
      <c r="L58" s="321">
        <f t="shared" si="6"/>
        <v>3.7146120000000002</v>
      </c>
      <c r="M58" s="321">
        <f t="shared" si="7"/>
        <v>0</v>
      </c>
      <c r="N58" s="321">
        <f t="shared" si="8"/>
        <v>3.093156</v>
      </c>
      <c r="O58" s="321">
        <f t="shared" si="9"/>
        <v>0</v>
      </c>
      <c r="P58" s="526"/>
    </row>
    <row r="59" spans="1:16" s="315" customFormat="1" ht="13.5" thickBot="1">
      <c r="A59" s="1086"/>
      <c r="B59" s="319"/>
      <c r="C59" s="339" t="s">
        <v>242</v>
      </c>
      <c r="D59" s="337" t="s">
        <v>3854</v>
      </c>
      <c r="E59" s="338">
        <v>328.49</v>
      </c>
      <c r="F59" s="320">
        <f t="shared" si="0"/>
        <v>197.09399999999999</v>
      </c>
      <c r="G59" s="322">
        <f t="shared" si="1"/>
        <v>0</v>
      </c>
      <c r="H59" s="321">
        <f t="shared" si="2"/>
        <v>16.654443000000001</v>
      </c>
      <c r="I59" s="321">
        <f t="shared" si="3"/>
        <v>0</v>
      </c>
      <c r="J59" s="321">
        <f t="shared" si="4"/>
        <v>6.3070079999999997</v>
      </c>
      <c r="K59" s="321">
        <f t="shared" si="5"/>
        <v>0</v>
      </c>
      <c r="L59" s="321">
        <f t="shared" si="6"/>
        <v>5.1835721999999995</v>
      </c>
      <c r="M59" s="321">
        <f t="shared" si="7"/>
        <v>0</v>
      </c>
      <c r="N59" s="321">
        <f t="shared" si="8"/>
        <v>4.3163586</v>
      </c>
      <c r="O59" s="321">
        <f t="shared" si="9"/>
        <v>0</v>
      </c>
      <c r="P59" s="526"/>
    </row>
    <row r="60" spans="1:16" s="302" customFormat="1" ht="13.5" thickBot="1">
      <c r="A60" s="1086"/>
      <c r="B60" s="316"/>
      <c r="C60" s="339" t="s">
        <v>117</v>
      </c>
      <c r="D60" s="337" t="s">
        <v>118</v>
      </c>
      <c r="E60" s="338">
        <v>999.38</v>
      </c>
      <c r="F60" s="320">
        <f t="shared" si="0"/>
        <v>599.62799999999993</v>
      </c>
      <c r="G60" s="343">
        <f t="shared" si="1"/>
        <v>0</v>
      </c>
      <c r="H60" s="321">
        <f t="shared" si="2"/>
        <v>50.668565999999998</v>
      </c>
      <c r="I60" s="321">
        <f t="shared" si="3"/>
        <v>0</v>
      </c>
      <c r="J60" s="321">
        <f t="shared" si="4"/>
        <v>19.188095999999998</v>
      </c>
      <c r="K60" s="321">
        <f t="shared" si="5"/>
        <v>0</v>
      </c>
      <c r="L60" s="321">
        <f t="shared" si="6"/>
        <v>15.770216399999999</v>
      </c>
      <c r="M60" s="321">
        <f t="shared" si="7"/>
        <v>0</v>
      </c>
      <c r="N60" s="321">
        <f t="shared" si="8"/>
        <v>13.131853199999998</v>
      </c>
      <c r="O60" s="321">
        <f t="shared" si="9"/>
        <v>0</v>
      </c>
      <c r="P60" s="526"/>
    </row>
    <row r="61" spans="1:16" s="302" customFormat="1" ht="13.5" thickBot="1">
      <c r="A61" s="1086"/>
      <c r="B61" s="318"/>
      <c r="C61" s="336" t="s">
        <v>119</v>
      </c>
      <c r="D61" s="337" t="s">
        <v>120</v>
      </c>
      <c r="E61" s="338">
        <v>222.6</v>
      </c>
      <c r="F61" s="320">
        <f t="shared" si="0"/>
        <v>133.56</v>
      </c>
      <c r="G61" s="343">
        <f t="shared" si="1"/>
        <v>0</v>
      </c>
      <c r="H61" s="321">
        <f t="shared" si="2"/>
        <v>11.285820000000001</v>
      </c>
      <c r="I61" s="321">
        <f t="shared" si="3"/>
        <v>0</v>
      </c>
      <c r="J61" s="321">
        <f t="shared" si="4"/>
        <v>4.2739200000000004</v>
      </c>
      <c r="K61" s="321">
        <f t="shared" si="5"/>
        <v>0</v>
      </c>
      <c r="L61" s="321">
        <f t="shared" si="6"/>
        <v>3.5126280000000003</v>
      </c>
      <c r="M61" s="321">
        <f t="shared" si="7"/>
        <v>0</v>
      </c>
      <c r="N61" s="321">
        <f t="shared" si="8"/>
        <v>2.9249640000000001</v>
      </c>
      <c r="O61" s="321">
        <f t="shared" si="9"/>
        <v>0</v>
      </c>
      <c r="P61" s="526"/>
    </row>
    <row r="62" spans="1:16" s="302" customFormat="1" ht="13.5" thickBot="1">
      <c r="A62" s="1086"/>
      <c r="B62" s="319"/>
      <c r="C62" s="336">
        <v>45111136</v>
      </c>
      <c r="D62" s="337" t="s">
        <v>3928</v>
      </c>
      <c r="E62" s="338">
        <v>1100</v>
      </c>
      <c r="F62" s="320">
        <f t="shared" si="0"/>
        <v>660</v>
      </c>
      <c r="G62" s="343">
        <f t="shared" si="1"/>
        <v>0</v>
      </c>
      <c r="H62" s="321">
        <f t="shared" si="2"/>
        <v>55.77</v>
      </c>
      <c r="I62" s="321">
        <f t="shared" si="3"/>
        <v>0</v>
      </c>
      <c r="J62" s="321">
        <f t="shared" si="4"/>
        <v>21.12</v>
      </c>
      <c r="K62" s="321">
        <f t="shared" si="5"/>
        <v>0</v>
      </c>
      <c r="L62" s="321">
        <f t="shared" si="6"/>
        <v>17.358000000000001</v>
      </c>
      <c r="M62" s="321">
        <f t="shared" si="7"/>
        <v>0</v>
      </c>
      <c r="N62" s="321">
        <f t="shared" si="8"/>
        <v>14.453999999999999</v>
      </c>
      <c r="O62" s="321">
        <f t="shared" si="9"/>
        <v>0</v>
      </c>
      <c r="P62" s="526"/>
    </row>
    <row r="63" spans="1:16" s="302" customFormat="1" ht="26.25" thickBot="1">
      <c r="A63" s="1086"/>
      <c r="B63" s="316"/>
      <c r="C63" s="336" t="s">
        <v>244</v>
      </c>
      <c r="D63" s="337" t="s">
        <v>3855</v>
      </c>
      <c r="E63" s="338">
        <v>1259.3900000000001</v>
      </c>
      <c r="F63" s="38">
        <f t="shared" si="0"/>
        <v>755.63400000000001</v>
      </c>
      <c r="G63" s="41">
        <f t="shared" si="1"/>
        <v>0</v>
      </c>
      <c r="H63" s="39">
        <f t="shared" si="2"/>
        <v>63.851073000000007</v>
      </c>
      <c r="I63" s="39">
        <f t="shared" si="3"/>
        <v>0</v>
      </c>
      <c r="J63" s="39">
        <f t="shared" si="4"/>
        <v>24.180288000000001</v>
      </c>
      <c r="K63" s="39">
        <f t="shared" si="5"/>
        <v>0</v>
      </c>
      <c r="L63" s="39">
        <f t="shared" si="6"/>
        <v>19.873174200000001</v>
      </c>
      <c r="M63" s="39">
        <f t="shared" si="7"/>
        <v>0</v>
      </c>
      <c r="N63" s="39">
        <f t="shared" si="8"/>
        <v>16.548384599999999</v>
      </c>
      <c r="O63" s="39">
        <f t="shared" si="9"/>
        <v>0</v>
      </c>
      <c r="P63" s="526"/>
    </row>
    <row r="64" spans="1:16" s="302" customFormat="1" ht="26.25" thickBot="1">
      <c r="A64" s="1086"/>
      <c r="B64" s="319"/>
      <c r="C64" s="588" t="s">
        <v>3856</v>
      </c>
      <c r="D64" s="298" t="s">
        <v>3857</v>
      </c>
      <c r="E64" s="654">
        <v>1399.56</v>
      </c>
      <c r="F64" s="320">
        <f t="shared" si="0"/>
        <v>839.73599999999999</v>
      </c>
      <c r="G64" s="41">
        <f>F64*B64</f>
        <v>0</v>
      </c>
      <c r="H64" s="321">
        <f t="shared" si="2"/>
        <v>70.957692000000009</v>
      </c>
      <c r="I64" s="39">
        <f t="shared" si="3"/>
        <v>0</v>
      </c>
      <c r="J64" s="321">
        <f t="shared" si="4"/>
        <v>26.871552000000001</v>
      </c>
      <c r="K64" s="39">
        <f t="shared" si="5"/>
        <v>0</v>
      </c>
      <c r="L64" s="321">
        <f t="shared" si="6"/>
        <v>22.0850568</v>
      </c>
      <c r="M64" s="39">
        <f t="shared" si="7"/>
        <v>0</v>
      </c>
      <c r="N64" s="321">
        <f t="shared" si="8"/>
        <v>18.390218399999998</v>
      </c>
      <c r="O64" s="39">
        <f t="shared" si="9"/>
        <v>0</v>
      </c>
      <c r="P64" s="526"/>
    </row>
    <row r="65" spans="1:16" s="302" customFormat="1" ht="26.25" thickBot="1">
      <c r="A65" s="1086"/>
      <c r="B65" s="319"/>
      <c r="C65" s="336" t="s">
        <v>3858</v>
      </c>
      <c r="D65" s="337" t="s">
        <v>3920</v>
      </c>
      <c r="E65" s="338">
        <v>2172.17</v>
      </c>
      <c r="F65" s="320">
        <f t="shared" si="0"/>
        <v>1303.3019999999999</v>
      </c>
      <c r="G65" s="322">
        <f t="shared" si="1"/>
        <v>0</v>
      </c>
      <c r="H65" s="321">
        <f t="shared" si="2"/>
        <v>110.129019</v>
      </c>
      <c r="I65" s="321">
        <f t="shared" si="3"/>
        <v>0</v>
      </c>
      <c r="J65" s="321">
        <f t="shared" si="4"/>
        <v>41.705663999999999</v>
      </c>
      <c r="K65" s="321">
        <f t="shared" si="5"/>
        <v>0</v>
      </c>
      <c r="L65" s="321">
        <f t="shared" si="6"/>
        <v>34.276842599999995</v>
      </c>
      <c r="M65" s="321">
        <f t="shared" si="7"/>
        <v>0</v>
      </c>
      <c r="N65" s="321">
        <f t="shared" si="8"/>
        <v>28.542313799999999</v>
      </c>
      <c r="O65" s="321">
        <f t="shared" si="9"/>
        <v>0</v>
      </c>
      <c r="P65" s="526"/>
    </row>
    <row r="66" spans="1:16" s="302" customFormat="1" ht="26.25" thickBot="1">
      <c r="A66" s="1086"/>
      <c r="B66" s="318"/>
      <c r="C66" s="336" t="s">
        <v>3914</v>
      </c>
      <c r="D66" s="337" t="s">
        <v>3921</v>
      </c>
      <c r="E66" s="338">
        <v>4008.22</v>
      </c>
      <c r="F66" s="320">
        <f t="shared" si="0"/>
        <v>2404.9319999999998</v>
      </c>
      <c r="G66" s="322">
        <f t="shared" si="1"/>
        <v>0</v>
      </c>
      <c r="H66" s="321">
        <f t="shared" si="2"/>
        <v>203.21675400000001</v>
      </c>
      <c r="I66" s="321">
        <f t="shared" si="3"/>
        <v>0</v>
      </c>
      <c r="J66" s="321">
        <f t="shared" si="4"/>
        <v>76.957823999999988</v>
      </c>
      <c r="K66" s="321">
        <f t="shared" si="5"/>
        <v>0</v>
      </c>
      <c r="L66" s="321">
        <f t="shared" si="6"/>
        <v>63.249711599999998</v>
      </c>
      <c r="M66" s="321">
        <f t="shared" si="7"/>
        <v>0</v>
      </c>
      <c r="N66" s="321">
        <f t="shared" si="8"/>
        <v>52.66801079999999</v>
      </c>
      <c r="O66" s="321">
        <f t="shared" si="9"/>
        <v>0</v>
      </c>
      <c r="P66" s="526"/>
    </row>
    <row r="67" spans="1:16" s="315" customFormat="1" ht="26.25" thickBot="1">
      <c r="A67" s="1086"/>
      <c r="B67" s="325"/>
      <c r="C67" s="336" t="s">
        <v>3915</v>
      </c>
      <c r="D67" s="337" t="s">
        <v>3917</v>
      </c>
      <c r="E67" s="338">
        <v>3919.41</v>
      </c>
      <c r="F67" s="320">
        <f t="shared" si="0"/>
        <v>2351.6459999999997</v>
      </c>
      <c r="G67" s="322">
        <f t="shared" si="1"/>
        <v>0</v>
      </c>
      <c r="H67" s="321">
        <f t="shared" si="2"/>
        <v>198.71408699999998</v>
      </c>
      <c r="I67" s="321">
        <f t="shared" si="3"/>
        <v>0</v>
      </c>
      <c r="J67" s="321">
        <f t="shared" si="4"/>
        <v>75.25267199999999</v>
      </c>
      <c r="K67" s="321">
        <f t="shared" si="5"/>
        <v>0</v>
      </c>
      <c r="L67" s="321">
        <f t="shared" si="6"/>
        <v>61.848289799999996</v>
      </c>
      <c r="M67" s="321">
        <f t="shared" si="7"/>
        <v>0</v>
      </c>
      <c r="N67" s="321">
        <f t="shared" si="8"/>
        <v>51.50104739999999</v>
      </c>
      <c r="O67" s="321">
        <f t="shared" si="9"/>
        <v>0</v>
      </c>
      <c r="P67" s="526"/>
    </row>
    <row r="68" spans="1:16" s="315" customFormat="1" ht="26.25" thickBot="1">
      <c r="A68" s="1086"/>
      <c r="B68" s="319"/>
      <c r="C68" s="336" t="s">
        <v>3916</v>
      </c>
      <c r="D68" s="337" t="s">
        <v>3918</v>
      </c>
      <c r="E68" s="338">
        <v>5661.37</v>
      </c>
      <c r="F68" s="320">
        <f t="shared" si="0"/>
        <v>3396.8219999999997</v>
      </c>
      <c r="G68" s="322">
        <f t="shared" si="1"/>
        <v>0</v>
      </c>
      <c r="H68" s="321">
        <f t="shared" si="2"/>
        <v>287.03145899999998</v>
      </c>
      <c r="I68" s="321">
        <f t="shared" si="3"/>
        <v>0</v>
      </c>
      <c r="J68" s="321">
        <f t="shared" si="4"/>
        <v>108.69830399999999</v>
      </c>
      <c r="K68" s="321">
        <f t="shared" si="5"/>
        <v>0</v>
      </c>
      <c r="L68" s="321">
        <f t="shared" si="6"/>
        <v>89.336418599999988</v>
      </c>
      <c r="M68" s="321">
        <f t="shared" si="7"/>
        <v>0</v>
      </c>
      <c r="N68" s="321">
        <f t="shared" si="8"/>
        <v>74.390401799999992</v>
      </c>
      <c r="O68" s="321">
        <f t="shared" si="9"/>
        <v>0</v>
      </c>
      <c r="P68" s="526"/>
    </row>
    <row r="69" spans="1:16" s="315" customFormat="1" ht="13.5" thickBot="1">
      <c r="A69" s="1086"/>
      <c r="B69" s="319"/>
      <c r="C69" s="336" t="s">
        <v>3861</v>
      </c>
      <c r="D69" s="337" t="s">
        <v>4045</v>
      </c>
      <c r="E69" s="338">
        <v>1828.63</v>
      </c>
      <c r="F69" s="320">
        <f t="shared" si="0"/>
        <v>1097.1780000000001</v>
      </c>
      <c r="G69" s="322">
        <f t="shared" si="1"/>
        <v>0</v>
      </c>
      <c r="H69" s="321">
        <f t="shared" si="2"/>
        <v>92.711541000000011</v>
      </c>
      <c r="I69" s="321">
        <f t="shared" si="3"/>
        <v>0</v>
      </c>
      <c r="J69" s="321">
        <f t="shared" si="4"/>
        <v>35.109696000000007</v>
      </c>
      <c r="K69" s="321">
        <f t="shared" si="5"/>
        <v>0</v>
      </c>
      <c r="L69" s="321">
        <f t="shared" si="6"/>
        <v>28.855781400000005</v>
      </c>
      <c r="M69" s="321">
        <f t="shared" si="7"/>
        <v>0</v>
      </c>
      <c r="N69" s="321">
        <f t="shared" si="8"/>
        <v>24.028198200000002</v>
      </c>
      <c r="O69" s="321">
        <f t="shared" si="9"/>
        <v>0</v>
      </c>
      <c r="P69" s="526"/>
    </row>
    <row r="70" spans="1:16" s="315" customFormat="1" ht="13.5" thickBot="1">
      <c r="A70" s="1086"/>
      <c r="B70" s="319"/>
      <c r="C70" s="336" t="s">
        <v>123</v>
      </c>
      <c r="D70" s="337" t="s">
        <v>3923</v>
      </c>
      <c r="E70" s="338">
        <v>329.56</v>
      </c>
      <c r="F70" s="320">
        <f t="shared" si="0"/>
        <v>197.73599999999999</v>
      </c>
      <c r="G70" s="322">
        <f t="shared" si="1"/>
        <v>0</v>
      </c>
      <c r="H70" s="321">
        <f t="shared" si="2"/>
        <v>16.708691999999999</v>
      </c>
      <c r="I70" s="321">
        <f t="shared" si="3"/>
        <v>0</v>
      </c>
      <c r="J70" s="321">
        <f t="shared" si="4"/>
        <v>6.3275519999999998</v>
      </c>
      <c r="K70" s="321">
        <f t="shared" si="5"/>
        <v>0</v>
      </c>
      <c r="L70" s="321">
        <f t="shared" si="6"/>
        <v>5.2004567999999995</v>
      </c>
      <c r="M70" s="321">
        <f t="shared" si="7"/>
        <v>0</v>
      </c>
      <c r="N70" s="321">
        <f t="shared" si="8"/>
        <v>4.3304183999999992</v>
      </c>
      <c r="O70" s="321">
        <f t="shared" si="9"/>
        <v>0</v>
      </c>
      <c r="P70" s="526"/>
    </row>
    <row r="71" spans="1:16" s="315" customFormat="1" ht="13.5" thickBot="1">
      <c r="A71" s="1086"/>
      <c r="B71" s="319"/>
      <c r="C71" s="336" t="s">
        <v>3862</v>
      </c>
      <c r="D71" s="337" t="s">
        <v>3929</v>
      </c>
      <c r="E71" s="338">
        <v>4449.0600000000004</v>
      </c>
      <c r="F71" s="320">
        <f>E71*(1-40%)</f>
        <v>2669.4360000000001</v>
      </c>
      <c r="G71" s="322">
        <f>F71*B71</f>
        <v>0</v>
      </c>
      <c r="H71" s="321">
        <f>F71*0.0845</f>
        <v>225.56734200000002</v>
      </c>
      <c r="I71" s="321">
        <f>H71*B71</f>
        <v>0</v>
      </c>
      <c r="J71" s="321">
        <f>F71*0.032</f>
        <v>85.421952000000005</v>
      </c>
      <c r="K71" s="321">
        <f>J71*B71</f>
        <v>0</v>
      </c>
      <c r="L71" s="321">
        <f>F71*0.0263</f>
        <v>70.206166800000005</v>
      </c>
      <c r="M71" s="321">
        <f>L71*B71</f>
        <v>0</v>
      </c>
      <c r="N71" s="321">
        <f>F71*0.0219</f>
        <v>58.460648400000004</v>
      </c>
      <c r="O71" s="321">
        <f>N71*B71</f>
        <v>0</v>
      </c>
      <c r="P71" s="526"/>
    </row>
    <row r="72" spans="1:16" s="315" customFormat="1" ht="13.5" thickBot="1">
      <c r="A72" s="1086"/>
      <c r="B72" s="318"/>
      <c r="C72" s="336" t="s">
        <v>430</v>
      </c>
      <c r="D72" s="337" t="s">
        <v>431</v>
      </c>
      <c r="E72" s="338">
        <v>588.5</v>
      </c>
      <c r="F72" s="320">
        <f>E72*(1-40%)</f>
        <v>353.09999999999997</v>
      </c>
      <c r="G72" s="322">
        <f>F72*B72</f>
        <v>0</v>
      </c>
      <c r="H72" s="321">
        <f>F72*0.0845</f>
        <v>29.836949999999998</v>
      </c>
      <c r="I72" s="321">
        <f>H72*B72</f>
        <v>0</v>
      </c>
      <c r="J72" s="321">
        <f>F72*0.032</f>
        <v>11.299199999999999</v>
      </c>
      <c r="K72" s="321">
        <f>J72*B72</f>
        <v>0</v>
      </c>
      <c r="L72" s="321">
        <f>F72*0.0263</f>
        <v>9.2865299999999991</v>
      </c>
      <c r="M72" s="321">
        <f>L72*B72</f>
        <v>0</v>
      </c>
      <c r="N72" s="321">
        <f>F72*0.0219</f>
        <v>7.7328899999999994</v>
      </c>
      <c r="O72" s="321">
        <f>N72*B72</f>
        <v>0</v>
      </c>
      <c r="P72" s="526"/>
    </row>
    <row r="73" spans="1:16" s="315" customFormat="1" ht="13.5" thickBot="1">
      <c r="A73" s="1086"/>
      <c r="B73" s="319"/>
      <c r="C73" s="336" t="s">
        <v>366</v>
      </c>
      <c r="D73" s="337" t="s">
        <v>367</v>
      </c>
      <c r="E73" s="338">
        <v>588.5</v>
      </c>
      <c r="F73" s="320">
        <f t="shared" si="0"/>
        <v>353.09999999999997</v>
      </c>
      <c r="G73" s="322">
        <f t="shared" si="1"/>
        <v>0</v>
      </c>
      <c r="H73" s="321">
        <f t="shared" si="2"/>
        <v>29.836949999999998</v>
      </c>
      <c r="I73" s="321">
        <f t="shared" si="3"/>
        <v>0</v>
      </c>
      <c r="J73" s="321">
        <f t="shared" si="4"/>
        <v>11.299199999999999</v>
      </c>
      <c r="K73" s="321">
        <f t="shared" si="5"/>
        <v>0</v>
      </c>
      <c r="L73" s="321">
        <f t="shared" si="6"/>
        <v>9.2865299999999991</v>
      </c>
      <c r="M73" s="321">
        <f t="shared" si="7"/>
        <v>0</v>
      </c>
      <c r="N73" s="321">
        <f t="shared" si="8"/>
        <v>7.7328899999999994</v>
      </c>
      <c r="O73" s="321">
        <f t="shared" si="9"/>
        <v>0</v>
      </c>
      <c r="P73" s="526"/>
    </row>
    <row r="74" spans="1:16" s="315" customFormat="1" ht="13.5" thickBot="1">
      <c r="A74" s="1086"/>
      <c r="B74" s="318"/>
      <c r="C74" s="336" t="s">
        <v>522</v>
      </c>
      <c r="D74" s="337" t="s">
        <v>3946</v>
      </c>
      <c r="E74" s="338">
        <v>101.65</v>
      </c>
      <c r="F74" s="320">
        <f t="shared" si="0"/>
        <v>60.99</v>
      </c>
      <c r="G74" s="322">
        <f t="shared" si="1"/>
        <v>0</v>
      </c>
      <c r="H74" s="321">
        <f t="shared" si="2"/>
        <v>5.1536550000000005</v>
      </c>
      <c r="I74" s="321">
        <f t="shared" si="3"/>
        <v>0</v>
      </c>
      <c r="J74" s="321">
        <f t="shared" si="4"/>
        <v>1.9516800000000001</v>
      </c>
      <c r="K74" s="321">
        <f t="shared" si="5"/>
        <v>0</v>
      </c>
      <c r="L74" s="321">
        <f t="shared" si="6"/>
        <v>1.6040370000000002</v>
      </c>
      <c r="M74" s="321">
        <f t="shared" si="7"/>
        <v>0</v>
      </c>
      <c r="N74" s="321">
        <f t="shared" si="8"/>
        <v>1.3356809999999999</v>
      </c>
      <c r="O74" s="321">
        <f t="shared" si="9"/>
        <v>0</v>
      </c>
      <c r="P74" s="526"/>
    </row>
    <row r="75" spans="1:16" s="315" customFormat="1" ht="13.5" thickBot="1">
      <c r="A75" s="1086"/>
      <c r="B75" s="318"/>
      <c r="C75" s="339" t="s">
        <v>3865</v>
      </c>
      <c r="D75" s="337" t="s">
        <v>3866</v>
      </c>
      <c r="E75" s="338">
        <v>145.52000000000001</v>
      </c>
      <c r="F75" s="320">
        <f t="shared" si="0"/>
        <v>87.311999999999998</v>
      </c>
      <c r="G75" s="322">
        <f t="shared" si="1"/>
        <v>0</v>
      </c>
      <c r="H75" s="321">
        <f t="shared" si="2"/>
        <v>7.3778640000000006</v>
      </c>
      <c r="I75" s="321">
        <f t="shared" si="3"/>
        <v>0</v>
      </c>
      <c r="J75" s="321">
        <f t="shared" si="4"/>
        <v>2.793984</v>
      </c>
      <c r="K75" s="321">
        <f t="shared" si="5"/>
        <v>0</v>
      </c>
      <c r="L75" s="321">
        <f t="shared" si="6"/>
        <v>2.2963056000000002</v>
      </c>
      <c r="M75" s="321">
        <f t="shared" si="7"/>
        <v>0</v>
      </c>
      <c r="N75" s="321">
        <f t="shared" si="8"/>
        <v>1.9121328</v>
      </c>
      <c r="O75" s="321">
        <f t="shared" si="9"/>
        <v>0</v>
      </c>
      <c r="P75" s="526"/>
    </row>
    <row r="76" spans="1:16" s="315" customFormat="1" ht="13.5" thickBot="1">
      <c r="A76" s="1086"/>
      <c r="B76" s="325"/>
      <c r="C76" s="340" t="s">
        <v>3930</v>
      </c>
      <c r="D76" s="337" t="s">
        <v>3931</v>
      </c>
      <c r="E76" s="338">
        <v>1470</v>
      </c>
      <c r="F76" s="320">
        <f t="shared" si="0"/>
        <v>882</v>
      </c>
      <c r="G76" s="322">
        <f t="shared" si="1"/>
        <v>0</v>
      </c>
      <c r="H76" s="321">
        <f t="shared" si="2"/>
        <v>74.529000000000011</v>
      </c>
      <c r="I76" s="321">
        <f t="shared" si="3"/>
        <v>0</v>
      </c>
      <c r="J76" s="321">
        <f t="shared" si="4"/>
        <v>28.224</v>
      </c>
      <c r="K76" s="321">
        <f t="shared" si="5"/>
        <v>0</v>
      </c>
      <c r="L76" s="321">
        <f t="shared" si="6"/>
        <v>23.1966</v>
      </c>
      <c r="M76" s="321">
        <f t="shared" si="7"/>
        <v>0</v>
      </c>
      <c r="N76" s="321">
        <f t="shared" si="8"/>
        <v>19.315799999999999</v>
      </c>
      <c r="O76" s="321">
        <f t="shared" si="9"/>
        <v>0</v>
      </c>
      <c r="P76" s="526"/>
    </row>
    <row r="77" spans="1:16" s="315" customFormat="1" ht="13.5" thickBot="1">
      <c r="A77" s="1086"/>
      <c r="B77" s="318"/>
      <c r="C77" s="339" t="s">
        <v>127</v>
      </c>
      <c r="D77" s="337" t="s">
        <v>128</v>
      </c>
      <c r="E77" s="338">
        <v>148.72999999999999</v>
      </c>
      <c r="F77" s="320">
        <f t="shared" si="0"/>
        <v>89.237999999999985</v>
      </c>
      <c r="G77" s="322">
        <f t="shared" si="1"/>
        <v>0</v>
      </c>
      <c r="H77" s="321">
        <f t="shared" si="2"/>
        <v>7.5406109999999993</v>
      </c>
      <c r="I77" s="321">
        <f t="shared" si="3"/>
        <v>0</v>
      </c>
      <c r="J77" s="321">
        <f t="shared" si="4"/>
        <v>2.8556159999999995</v>
      </c>
      <c r="K77" s="321">
        <f t="shared" si="5"/>
        <v>0</v>
      </c>
      <c r="L77" s="321">
        <f t="shared" si="6"/>
        <v>2.3469593999999998</v>
      </c>
      <c r="M77" s="321">
        <f t="shared" si="7"/>
        <v>0</v>
      </c>
      <c r="N77" s="321">
        <f t="shared" si="8"/>
        <v>1.9543121999999997</v>
      </c>
      <c r="O77" s="321">
        <f t="shared" si="9"/>
        <v>0</v>
      </c>
      <c r="P77" s="526"/>
    </row>
    <row r="78" spans="1:16" s="302" customFormat="1" ht="13.5" thickBot="1">
      <c r="A78" s="1086"/>
      <c r="B78" s="318"/>
      <c r="C78" s="336" t="s">
        <v>129</v>
      </c>
      <c r="D78" s="337" t="s">
        <v>130</v>
      </c>
      <c r="E78" s="338">
        <v>785</v>
      </c>
      <c r="F78" s="320">
        <f t="shared" si="0"/>
        <v>471</v>
      </c>
      <c r="G78" s="322">
        <f t="shared" si="1"/>
        <v>0</v>
      </c>
      <c r="H78" s="321">
        <f t="shared" ref="H78:H106" si="10">F78*0.0845</f>
        <v>39.799500000000002</v>
      </c>
      <c r="I78" s="321">
        <f t="shared" si="3"/>
        <v>0</v>
      </c>
      <c r="J78" s="321">
        <f t="shared" ref="J78:J106" si="11">F78*0.032</f>
        <v>15.072000000000001</v>
      </c>
      <c r="K78" s="321">
        <f t="shared" si="5"/>
        <v>0</v>
      </c>
      <c r="L78" s="321">
        <f t="shared" ref="L78:L106" si="12">F78*0.0263</f>
        <v>12.3873</v>
      </c>
      <c r="M78" s="321">
        <f t="shared" si="7"/>
        <v>0</v>
      </c>
      <c r="N78" s="321">
        <f t="shared" ref="N78:N106" si="13">F78*0.0219</f>
        <v>10.3149</v>
      </c>
      <c r="O78" s="321">
        <f t="shared" si="9"/>
        <v>0</v>
      </c>
      <c r="P78" s="526"/>
    </row>
    <row r="79" spans="1:16" s="315" customFormat="1" ht="13.5" thickBot="1">
      <c r="A79" s="1086"/>
      <c r="B79" s="319"/>
      <c r="C79" s="336" t="s">
        <v>131</v>
      </c>
      <c r="D79" s="337" t="s">
        <v>217</v>
      </c>
      <c r="E79" s="338">
        <v>821</v>
      </c>
      <c r="F79" s="320">
        <f t="shared" si="0"/>
        <v>492.59999999999997</v>
      </c>
      <c r="G79" s="322">
        <f t="shared" si="1"/>
        <v>0</v>
      </c>
      <c r="H79" s="321">
        <f t="shared" si="10"/>
        <v>41.624699999999997</v>
      </c>
      <c r="I79" s="321">
        <f t="shared" si="3"/>
        <v>0</v>
      </c>
      <c r="J79" s="321">
        <f t="shared" si="11"/>
        <v>15.763199999999999</v>
      </c>
      <c r="K79" s="321">
        <f t="shared" si="5"/>
        <v>0</v>
      </c>
      <c r="L79" s="321">
        <f t="shared" si="12"/>
        <v>12.95538</v>
      </c>
      <c r="M79" s="321">
        <f t="shared" si="7"/>
        <v>0</v>
      </c>
      <c r="N79" s="321">
        <f t="shared" si="13"/>
        <v>10.787939999999999</v>
      </c>
      <c r="O79" s="321">
        <f t="shared" si="9"/>
        <v>0</v>
      </c>
      <c r="P79" s="526"/>
    </row>
    <row r="80" spans="1:16" s="315" customFormat="1" ht="13.5" thickBot="1">
      <c r="A80" s="1086"/>
      <c r="B80" s="319"/>
      <c r="C80" s="340" t="s">
        <v>133</v>
      </c>
      <c r="D80" s="337" t="s">
        <v>134</v>
      </c>
      <c r="E80" s="338">
        <v>690</v>
      </c>
      <c r="F80" s="320">
        <f t="shared" si="0"/>
        <v>414</v>
      </c>
      <c r="G80" s="322">
        <f t="shared" si="1"/>
        <v>0</v>
      </c>
      <c r="H80" s="321">
        <f t="shared" si="10"/>
        <v>34.983000000000004</v>
      </c>
      <c r="I80" s="321">
        <f t="shared" si="3"/>
        <v>0</v>
      </c>
      <c r="J80" s="321">
        <f t="shared" si="11"/>
        <v>13.248000000000001</v>
      </c>
      <c r="K80" s="321">
        <f t="shared" si="5"/>
        <v>0</v>
      </c>
      <c r="L80" s="321">
        <f t="shared" si="12"/>
        <v>10.888199999999999</v>
      </c>
      <c r="M80" s="321">
        <f t="shared" si="7"/>
        <v>0</v>
      </c>
      <c r="N80" s="321">
        <f t="shared" si="13"/>
        <v>9.0665999999999993</v>
      </c>
      <c r="O80" s="321">
        <f t="shared" si="9"/>
        <v>0</v>
      </c>
      <c r="P80" s="526"/>
    </row>
    <row r="81" spans="1:16" s="315" customFormat="1" ht="13.5" thickBot="1">
      <c r="A81" s="1086"/>
      <c r="B81" s="319"/>
      <c r="C81" s="339" t="s">
        <v>135</v>
      </c>
      <c r="D81" s="337" t="s">
        <v>136</v>
      </c>
      <c r="E81" s="338">
        <v>191</v>
      </c>
      <c r="F81" s="320">
        <f t="shared" si="0"/>
        <v>114.6</v>
      </c>
      <c r="G81" s="322">
        <f t="shared" si="1"/>
        <v>0</v>
      </c>
      <c r="H81" s="321">
        <f t="shared" si="10"/>
        <v>9.6837</v>
      </c>
      <c r="I81" s="321">
        <f t="shared" si="3"/>
        <v>0</v>
      </c>
      <c r="J81" s="321">
        <f t="shared" si="11"/>
        <v>3.6671999999999998</v>
      </c>
      <c r="K81" s="321">
        <f t="shared" si="5"/>
        <v>0</v>
      </c>
      <c r="L81" s="321">
        <f t="shared" si="12"/>
        <v>3.0139800000000001</v>
      </c>
      <c r="M81" s="321">
        <f t="shared" si="7"/>
        <v>0</v>
      </c>
      <c r="N81" s="321">
        <f t="shared" si="13"/>
        <v>2.5097399999999999</v>
      </c>
      <c r="O81" s="321">
        <f t="shared" si="9"/>
        <v>0</v>
      </c>
      <c r="P81" s="526"/>
    </row>
    <row r="82" spans="1:16" s="315" customFormat="1" ht="26.25" thickBot="1">
      <c r="A82" s="1086"/>
      <c r="B82" s="319"/>
      <c r="C82" s="339" t="s">
        <v>137</v>
      </c>
      <c r="D82" s="337" t="s">
        <v>3867</v>
      </c>
      <c r="E82" s="338">
        <v>667.8</v>
      </c>
      <c r="F82" s="320">
        <f t="shared" si="0"/>
        <v>400.67999999999995</v>
      </c>
      <c r="G82" s="322">
        <f t="shared" si="1"/>
        <v>0</v>
      </c>
      <c r="H82" s="321">
        <f t="shared" si="10"/>
        <v>33.857459999999996</v>
      </c>
      <c r="I82" s="321">
        <f t="shared" si="3"/>
        <v>0</v>
      </c>
      <c r="J82" s="321">
        <f t="shared" si="11"/>
        <v>12.821759999999999</v>
      </c>
      <c r="K82" s="321">
        <f t="shared" si="5"/>
        <v>0</v>
      </c>
      <c r="L82" s="321">
        <f t="shared" si="12"/>
        <v>10.537883999999998</v>
      </c>
      <c r="M82" s="321">
        <f t="shared" si="7"/>
        <v>0</v>
      </c>
      <c r="N82" s="321">
        <f t="shared" si="13"/>
        <v>8.7748919999999995</v>
      </c>
      <c r="O82" s="321">
        <f t="shared" si="9"/>
        <v>0</v>
      </c>
      <c r="P82" s="526"/>
    </row>
    <row r="83" spans="1:16" s="315" customFormat="1" ht="13.5" thickBot="1">
      <c r="A83" s="1086"/>
      <c r="B83" s="319"/>
      <c r="C83" s="336" t="s">
        <v>139</v>
      </c>
      <c r="D83" s="337" t="s">
        <v>140</v>
      </c>
      <c r="E83" s="338">
        <v>250</v>
      </c>
      <c r="F83" s="38">
        <f t="shared" si="0"/>
        <v>150</v>
      </c>
      <c r="G83" s="41">
        <f t="shared" si="1"/>
        <v>0</v>
      </c>
      <c r="H83" s="39">
        <f t="shared" si="10"/>
        <v>12.675000000000001</v>
      </c>
      <c r="I83" s="39">
        <f t="shared" si="3"/>
        <v>0</v>
      </c>
      <c r="J83" s="39">
        <f t="shared" si="11"/>
        <v>4.8</v>
      </c>
      <c r="K83" s="39">
        <f t="shared" si="5"/>
        <v>0</v>
      </c>
      <c r="L83" s="39">
        <f t="shared" si="12"/>
        <v>3.9450000000000003</v>
      </c>
      <c r="M83" s="39">
        <f t="shared" si="7"/>
        <v>0</v>
      </c>
      <c r="N83" s="39">
        <f t="shared" si="13"/>
        <v>3.2849999999999997</v>
      </c>
      <c r="O83" s="39">
        <f t="shared" si="9"/>
        <v>0</v>
      </c>
      <c r="P83" s="526"/>
    </row>
    <row r="84" spans="1:16" s="315" customFormat="1" ht="13.5" thickBot="1">
      <c r="A84" s="1086"/>
      <c r="B84" s="319"/>
      <c r="C84" s="339" t="s">
        <v>141</v>
      </c>
      <c r="D84" s="337" t="s">
        <v>174</v>
      </c>
      <c r="E84" s="338">
        <v>250</v>
      </c>
      <c r="F84" s="320">
        <f t="shared" si="0"/>
        <v>150</v>
      </c>
      <c r="G84" s="322">
        <f t="shared" si="1"/>
        <v>0</v>
      </c>
      <c r="H84" s="321">
        <f t="shared" si="10"/>
        <v>12.675000000000001</v>
      </c>
      <c r="I84" s="321">
        <f t="shared" si="3"/>
        <v>0</v>
      </c>
      <c r="J84" s="321">
        <f t="shared" si="11"/>
        <v>4.8</v>
      </c>
      <c r="K84" s="321">
        <f t="shared" si="5"/>
        <v>0</v>
      </c>
      <c r="L84" s="321">
        <f t="shared" si="12"/>
        <v>3.9450000000000003</v>
      </c>
      <c r="M84" s="321">
        <f t="shared" si="7"/>
        <v>0</v>
      </c>
      <c r="N84" s="321">
        <f t="shared" si="13"/>
        <v>3.2849999999999997</v>
      </c>
      <c r="O84" s="321">
        <f t="shared" si="9"/>
        <v>0</v>
      </c>
      <c r="P84" s="526"/>
    </row>
    <row r="85" spans="1:16" s="315" customFormat="1" ht="39" thickBot="1">
      <c r="A85" s="1086"/>
      <c r="B85" s="319"/>
      <c r="C85" s="336" t="s">
        <v>250</v>
      </c>
      <c r="D85" s="337" t="s">
        <v>3924</v>
      </c>
      <c r="E85" s="338">
        <v>3930.11</v>
      </c>
      <c r="F85" s="320">
        <f t="shared" si="0"/>
        <v>2358.0659999999998</v>
      </c>
      <c r="G85" s="322">
        <f t="shared" si="1"/>
        <v>0</v>
      </c>
      <c r="H85" s="321">
        <f t="shared" si="10"/>
        <v>199.25657699999999</v>
      </c>
      <c r="I85" s="321">
        <f t="shared" si="3"/>
        <v>0</v>
      </c>
      <c r="J85" s="321">
        <f t="shared" si="11"/>
        <v>75.458112</v>
      </c>
      <c r="K85" s="321">
        <f t="shared" si="5"/>
        <v>0</v>
      </c>
      <c r="L85" s="321">
        <f t="shared" si="12"/>
        <v>62.017135799999998</v>
      </c>
      <c r="M85" s="321">
        <f t="shared" si="7"/>
        <v>0</v>
      </c>
      <c r="N85" s="321">
        <f t="shared" si="13"/>
        <v>51.641645399999994</v>
      </c>
      <c r="O85" s="321">
        <f t="shared" si="9"/>
        <v>0</v>
      </c>
      <c r="P85" s="526"/>
    </row>
    <row r="86" spans="1:16" s="315" customFormat="1" ht="26.25" thickBot="1">
      <c r="A86" s="1086"/>
      <c r="B86" s="319"/>
      <c r="C86" s="336" t="s">
        <v>251</v>
      </c>
      <c r="D86" s="337" t="s">
        <v>3868</v>
      </c>
      <c r="E86" s="338">
        <v>1959</v>
      </c>
      <c r="F86" s="320">
        <f t="shared" si="0"/>
        <v>1175.3999999999999</v>
      </c>
      <c r="G86" s="322">
        <f t="shared" si="1"/>
        <v>0</v>
      </c>
      <c r="H86" s="321">
        <f t="shared" si="10"/>
        <v>99.321299999999994</v>
      </c>
      <c r="I86" s="321">
        <f t="shared" si="3"/>
        <v>0</v>
      </c>
      <c r="J86" s="321">
        <f t="shared" si="11"/>
        <v>37.612799999999993</v>
      </c>
      <c r="K86" s="321">
        <f t="shared" si="5"/>
        <v>0</v>
      </c>
      <c r="L86" s="321">
        <f t="shared" si="12"/>
        <v>30.913019999999996</v>
      </c>
      <c r="M86" s="321">
        <f t="shared" si="7"/>
        <v>0</v>
      </c>
      <c r="N86" s="321">
        <f t="shared" si="13"/>
        <v>25.741259999999997</v>
      </c>
      <c r="O86" s="321">
        <f t="shared" si="9"/>
        <v>0</v>
      </c>
      <c r="P86" s="526"/>
    </row>
    <row r="87" spans="1:16" s="315" customFormat="1" ht="13.5" thickBot="1">
      <c r="A87" s="1086"/>
      <c r="B87" s="319"/>
      <c r="C87" s="336" t="s">
        <v>252</v>
      </c>
      <c r="D87" s="337" t="s">
        <v>3869</v>
      </c>
      <c r="E87" s="338">
        <v>996.17</v>
      </c>
      <c r="F87" s="320">
        <f t="shared" si="0"/>
        <v>597.702</v>
      </c>
      <c r="G87" s="322">
        <f t="shared" si="1"/>
        <v>0</v>
      </c>
      <c r="H87" s="321">
        <f t="shared" si="10"/>
        <v>50.505819000000002</v>
      </c>
      <c r="I87" s="321">
        <f t="shared" si="3"/>
        <v>0</v>
      </c>
      <c r="J87" s="321">
        <f t="shared" si="11"/>
        <v>19.126463999999999</v>
      </c>
      <c r="K87" s="321">
        <f t="shared" si="5"/>
        <v>0</v>
      </c>
      <c r="L87" s="321">
        <f t="shared" si="12"/>
        <v>15.7195626</v>
      </c>
      <c r="M87" s="321">
        <f t="shared" si="7"/>
        <v>0</v>
      </c>
      <c r="N87" s="321">
        <f t="shared" si="13"/>
        <v>13.0896738</v>
      </c>
      <c r="O87" s="321">
        <f t="shared" si="9"/>
        <v>0</v>
      </c>
      <c r="P87" s="526"/>
    </row>
    <row r="88" spans="1:16" s="315" customFormat="1" ht="13.5" thickBot="1">
      <c r="A88" s="1086"/>
      <c r="B88" s="319"/>
      <c r="C88" s="336" t="s">
        <v>218</v>
      </c>
      <c r="D88" s="337" t="s">
        <v>253</v>
      </c>
      <c r="E88" s="338">
        <v>70.62</v>
      </c>
      <c r="F88" s="320">
        <f t="shared" si="0"/>
        <v>42.372</v>
      </c>
      <c r="G88" s="322">
        <f t="shared" si="1"/>
        <v>0</v>
      </c>
      <c r="H88" s="321">
        <f t="shared" si="10"/>
        <v>3.5804340000000003</v>
      </c>
      <c r="I88" s="321">
        <f t="shared" si="3"/>
        <v>0</v>
      </c>
      <c r="J88" s="321">
        <f t="shared" si="11"/>
        <v>1.355904</v>
      </c>
      <c r="K88" s="321">
        <f t="shared" si="5"/>
        <v>0</v>
      </c>
      <c r="L88" s="321">
        <f t="shared" si="12"/>
        <v>1.1143836</v>
      </c>
      <c r="M88" s="321">
        <f t="shared" si="7"/>
        <v>0</v>
      </c>
      <c r="N88" s="321">
        <f t="shared" si="13"/>
        <v>0.92794679999999996</v>
      </c>
      <c r="O88" s="321">
        <f t="shared" si="9"/>
        <v>0</v>
      </c>
      <c r="P88" s="526"/>
    </row>
    <row r="89" spans="1:16" s="315" customFormat="1" ht="13.5" thickBot="1">
      <c r="A89" s="1086"/>
      <c r="B89" s="319"/>
      <c r="C89" s="336" t="s">
        <v>3870</v>
      </c>
      <c r="D89" s="337" t="s">
        <v>433</v>
      </c>
      <c r="E89" s="338">
        <v>131.61000000000001</v>
      </c>
      <c r="F89" s="320">
        <f t="shared" si="0"/>
        <v>78.966000000000008</v>
      </c>
      <c r="G89" s="322">
        <f t="shared" si="1"/>
        <v>0</v>
      </c>
      <c r="H89" s="321">
        <f t="shared" si="10"/>
        <v>6.6726270000000012</v>
      </c>
      <c r="I89" s="321">
        <f t="shared" si="3"/>
        <v>0</v>
      </c>
      <c r="J89" s="321">
        <f t="shared" si="11"/>
        <v>2.5269120000000003</v>
      </c>
      <c r="K89" s="321">
        <f t="shared" si="5"/>
        <v>0</v>
      </c>
      <c r="L89" s="321">
        <f t="shared" si="12"/>
        <v>2.0768058000000003</v>
      </c>
      <c r="M89" s="321">
        <f t="shared" si="7"/>
        <v>0</v>
      </c>
      <c r="N89" s="321">
        <f t="shared" si="13"/>
        <v>1.7293554000000002</v>
      </c>
      <c r="O89" s="321">
        <f t="shared" si="9"/>
        <v>0</v>
      </c>
      <c r="P89" s="526"/>
    </row>
    <row r="90" spans="1:16" s="315" customFormat="1" ht="13.5" thickBot="1">
      <c r="A90" s="1086"/>
      <c r="B90" s="319"/>
      <c r="C90" s="336" t="s">
        <v>3871</v>
      </c>
      <c r="D90" s="337" t="s">
        <v>385</v>
      </c>
      <c r="E90" s="338">
        <v>1075.3499999999999</v>
      </c>
      <c r="F90" s="320">
        <f t="shared" si="0"/>
        <v>645.20999999999992</v>
      </c>
      <c r="G90" s="322">
        <f t="shared" si="1"/>
        <v>0</v>
      </c>
      <c r="H90" s="321">
        <f t="shared" si="10"/>
        <v>54.520244999999996</v>
      </c>
      <c r="I90" s="321">
        <f t="shared" si="3"/>
        <v>0</v>
      </c>
      <c r="J90" s="321">
        <f t="shared" si="11"/>
        <v>20.646719999999998</v>
      </c>
      <c r="K90" s="321">
        <f t="shared" si="5"/>
        <v>0</v>
      </c>
      <c r="L90" s="321">
        <f t="shared" si="12"/>
        <v>16.969023</v>
      </c>
      <c r="M90" s="321">
        <f t="shared" si="7"/>
        <v>0</v>
      </c>
      <c r="N90" s="321">
        <f t="shared" si="13"/>
        <v>14.130098999999998</v>
      </c>
      <c r="O90" s="321">
        <f t="shared" si="9"/>
        <v>0</v>
      </c>
      <c r="P90" s="526"/>
    </row>
    <row r="91" spans="1:16" s="315" customFormat="1" ht="13.5" thickBot="1">
      <c r="A91" s="1086"/>
      <c r="B91" s="317"/>
      <c r="C91" s="336" t="s">
        <v>3872</v>
      </c>
      <c r="D91" s="337" t="s">
        <v>386</v>
      </c>
      <c r="E91" s="338">
        <v>1402.77</v>
      </c>
      <c r="F91" s="320">
        <f t="shared" si="0"/>
        <v>841.66199999999992</v>
      </c>
      <c r="G91" s="322">
        <f t="shared" si="1"/>
        <v>0</v>
      </c>
      <c r="H91" s="321">
        <f t="shared" si="10"/>
        <v>71.120439000000005</v>
      </c>
      <c r="I91" s="321">
        <f t="shared" si="3"/>
        <v>0</v>
      </c>
      <c r="J91" s="321">
        <f t="shared" si="11"/>
        <v>26.933183999999997</v>
      </c>
      <c r="K91" s="321">
        <f t="shared" si="5"/>
        <v>0</v>
      </c>
      <c r="L91" s="321">
        <f t="shared" si="12"/>
        <v>22.135710599999999</v>
      </c>
      <c r="M91" s="321">
        <f t="shared" si="7"/>
        <v>0</v>
      </c>
      <c r="N91" s="321">
        <f t="shared" si="13"/>
        <v>18.432397799999997</v>
      </c>
      <c r="O91" s="321">
        <f t="shared" si="9"/>
        <v>0</v>
      </c>
      <c r="P91" s="526"/>
    </row>
    <row r="92" spans="1:16" s="315" customFormat="1" ht="13.5" thickBot="1">
      <c r="A92" s="1086"/>
      <c r="B92" s="327"/>
      <c r="C92" s="336" t="s">
        <v>3873</v>
      </c>
      <c r="D92" s="337" t="s">
        <v>387</v>
      </c>
      <c r="E92" s="338">
        <v>1651.01</v>
      </c>
      <c r="F92" s="320">
        <f t="shared" si="0"/>
        <v>990.60599999999999</v>
      </c>
      <c r="G92" s="322">
        <f t="shared" si="1"/>
        <v>0</v>
      </c>
      <c r="H92" s="321">
        <f t="shared" si="10"/>
        <v>83.706207000000006</v>
      </c>
      <c r="I92" s="321">
        <f t="shared" si="3"/>
        <v>0</v>
      </c>
      <c r="J92" s="321">
        <f t="shared" si="11"/>
        <v>31.699392</v>
      </c>
      <c r="K92" s="321">
        <f t="shared" si="5"/>
        <v>0</v>
      </c>
      <c r="L92" s="321">
        <f t="shared" si="12"/>
        <v>26.052937799999999</v>
      </c>
      <c r="M92" s="321">
        <f t="shared" si="7"/>
        <v>0</v>
      </c>
      <c r="N92" s="321">
        <f t="shared" si="13"/>
        <v>21.694271399999998</v>
      </c>
      <c r="O92" s="321">
        <f t="shared" si="9"/>
        <v>0</v>
      </c>
      <c r="P92" s="526"/>
    </row>
    <row r="93" spans="1:16" s="315" customFormat="1" ht="13.5" thickBot="1">
      <c r="A93" s="1086"/>
      <c r="B93" s="318"/>
      <c r="C93" s="340" t="s">
        <v>254</v>
      </c>
      <c r="D93" s="337" t="s">
        <v>3874</v>
      </c>
      <c r="E93" s="338">
        <v>1964.52</v>
      </c>
      <c r="F93" s="320">
        <f t="shared" si="0"/>
        <v>1178.712</v>
      </c>
      <c r="G93" s="322">
        <f t="shared" si="1"/>
        <v>0</v>
      </c>
      <c r="H93" s="321">
        <f t="shared" si="10"/>
        <v>99.601164000000011</v>
      </c>
      <c r="I93" s="321">
        <f t="shared" si="3"/>
        <v>0</v>
      </c>
      <c r="J93" s="321">
        <f t="shared" si="11"/>
        <v>37.718783999999999</v>
      </c>
      <c r="K93" s="321">
        <f t="shared" si="5"/>
        <v>0</v>
      </c>
      <c r="L93" s="321">
        <f t="shared" si="12"/>
        <v>31.000125600000001</v>
      </c>
      <c r="M93" s="321">
        <f t="shared" si="7"/>
        <v>0</v>
      </c>
      <c r="N93" s="321">
        <f t="shared" si="13"/>
        <v>25.813792799999998</v>
      </c>
      <c r="O93" s="321">
        <f t="shared" si="9"/>
        <v>0</v>
      </c>
      <c r="P93" s="526"/>
    </row>
    <row r="94" spans="1:16" s="315" customFormat="1" ht="13.5" thickBot="1">
      <c r="A94" s="1086"/>
      <c r="B94" s="319"/>
      <c r="C94" s="336" t="s">
        <v>528</v>
      </c>
      <c r="D94" s="337" t="s">
        <v>3912</v>
      </c>
      <c r="E94" s="338">
        <v>1306.47</v>
      </c>
      <c r="F94" s="320">
        <f t="shared" si="0"/>
        <v>783.88199999999995</v>
      </c>
      <c r="G94" s="322">
        <f t="shared" si="1"/>
        <v>0</v>
      </c>
      <c r="H94" s="321">
        <f t="shared" si="10"/>
        <v>66.238028999999997</v>
      </c>
      <c r="I94" s="321">
        <f t="shared" si="3"/>
        <v>0</v>
      </c>
      <c r="J94" s="321">
        <f t="shared" si="11"/>
        <v>25.084223999999999</v>
      </c>
      <c r="K94" s="321">
        <f t="shared" si="5"/>
        <v>0</v>
      </c>
      <c r="L94" s="321">
        <f t="shared" si="12"/>
        <v>20.616096599999999</v>
      </c>
      <c r="M94" s="321">
        <f t="shared" si="7"/>
        <v>0</v>
      </c>
      <c r="N94" s="321">
        <f t="shared" si="13"/>
        <v>17.167015799999998</v>
      </c>
      <c r="O94" s="321">
        <f t="shared" si="9"/>
        <v>0</v>
      </c>
      <c r="P94" s="526"/>
    </row>
    <row r="95" spans="1:16" s="315" customFormat="1" ht="13.5" thickBot="1">
      <c r="A95" s="1086"/>
      <c r="B95" s="323"/>
      <c r="C95" s="336" t="s">
        <v>256</v>
      </c>
      <c r="D95" s="337" t="s">
        <v>3875</v>
      </c>
      <c r="E95" s="338">
        <v>690.15</v>
      </c>
      <c r="F95" s="320">
        <f t="shared" si="0"/>
        <v>414.09</v>
      </c>
      <c r="G95" s="322">
        <f t="shared" si="1"/>
        <v>0</v>
      </c>
      <c r="H95" s="321">
        <f t="shared" si="10"/>
        <v>34.990605000000002</v>
      </c>
      <c r="I95" s="321">
        <f t="shared" si="3"/>
        <v>0</v>
      </c>
      <c r="J95" s="321">
        <f t="shared" si="11"/>
        <v>13.250879999999999</v>
      </c>
      <c r="K95" s="321">
        <f t="shared" si="5"/>
        <v>0</v>
      </c>
      <c r="L95" s="321">
        <f t="shared" si="12"/>
        <v>10.890566999999999</v>
      </c>
      <c r="M95" s="321">
        <f t="shared" si="7"/>
        <v>0</v>
      </c>
      <c r="N95" s="321">
        <f t="shared" si="13"/>
        <v>9.0685709999999986</v>
      </c>
      <c r="O95" s="321">
        <f t="shared" si="9"/>
        <v>0</v>
      </c>
      <c r="P95" s="526"/>
    </row>
    <row r="96" spans="1:16" s="315" customFormat="1" ht="13.5" thickBot="1">
      <c r="A96" s="1086"/>
      <c r="B96" s="318"/>
      <c r="C96" s="336" t="s">
        <v>368</v>
      </c>
      <c r="D96" s="337" t="s">
        <v>434</v>
      </c>
      <c r="E96" s="338">
        <v>1000.45</v>
      </c>
      <c r="F96" s="320">
        <f t="shared" si="0"/>
        <v>600.27</v>
      </c>
      <c r="G96" s="322">
        <f t="shared" si="1"/>
        <v>0</v>
      </c>
      <c r="H96" s="321">
        <f t="shared" si="10"/>
        <v>50.722815000000004</v>
      </c>
      <c r="I96" s="321">
        <f t="shared" si="3"/>
        <v>0</v>
      </c>
      <c r="J96" s="321">
        <f t="shared" si="11"/>
        <v>19.208639999999999</v>
      </c>
      <c r="K96" s="321">
        <f t="shared" si="5"/>
        <v>0</v>
      </c>
      <c r="L96" s="321">
        <f t="shared" si="12"/>
        <v>15.787101</v>
      </c>
      <c r="M96" s="321">
        <f t="shared" si="7"/>
        <v>0</v>
      </c>
      <c r="N96" s="321">
        <f t="shared" si="13"/>
        <v>13.145912999999998</v>
      </c>
      <c r="O96" s="321">
        <f t="shared" si="9"/>
        <v>0</v>
      </c>
      <c r="P96" s="526"/>
    </row>
    <row r="97" spans="1:16" s="315" customFormat="1" ht="13.5" thickBot="1">
      <c r="A97" s="1086"/>
      <c r="B97" s="319"/>
      <c r="C97" s="336" t="s">
        <v>3876</v>
      </c>
      <c r="D97" s="337" t="s">
        <v>3877</v>
      </c>
      <c r="E97" s="338">
        <v>690.15</v>
      </c>
      <c r="F97" s="320">
        <f t="shared" si="0"/>
        <v>414.09</v>
      </c>
      <c r="G97" s="322">
        <f t="shared" si="1"/>
        <v>0</v>
      </c>
      <c r="H97" s="321">
        <f t="shared" si="10"/>
        <v>34.990605000000002</v>
      </c>
      <c r="I97" s="321">
        <f t="shared" si="3"/>
        <v>0</v>
      </c>
      <c r="J97" s="321">
        <f t="shared" si="11"/>
        <v>13.250879999999999</v>
      </c>
      <c r="K97" s="321">
        <f t="shared" si="5"/>
        <v>0</v>
      </c>
      <c r="L97" s="321">
        <f t="shared" si="12"/>
        <v>10.890566999999999</v>
      </c>
      <c r="M97" s="321">
        <f t="shared" si="7"/>
        <v>0</v>
      </c>
      <c r="N97" s="321">
        <f t="shared" si="13"/>
        <v>9.0685709999999986</v>
      </c>
      <c r="O97" s="321">
        <f t="shared" si="9"/>
        <v>0</v>
      </c>
      <c r="P97" s="526"/>
    </row>
    <row r="98" spans="1:16" s="315" customFormat="1" ht="13.5" thickBot="1">
      <c r="A98" s="1086"/>
      <c r="B98" s="323"/>
      <c r="C98" s="336" t="s">
        <v>257</v>
      </c>
      <c r="D98" s="337" t="s">
        <v>435</v>
      </c>
      <c r="E98" s="338">
        <v>1348</v>
      </c>
      <c r="F98" s="320">
        <f t="shared" si="0"/>
        <v>808.8</v>
      </c>
      <c r="G98" s="322">
        <f t="shared" si="1"/>
        <v>0</v>
      </c>
      <c r="H98" s="321">
        <f t="shared" si="10"/>
        <v>68.343599999999995</v>
      </c>
      <c r="I98" s="321">
        <f t="shared" si="3"/>
        <v>0</v>
      </c>
      <c r="J98" s="321">
        <f t="shared" si="11"/>
        <v>25.881599999999999</v>
      </c>
      <c r="K98" s="321">
        <f t="shared" si="5"/>
        <v>0</v>
      </c>
      <c r="L98" s="321">
        <f t="shared" si="12"/>
        <v>21.271439999999998</v>
      </c>
      <c r="M98" s="321">
        <f t="shared" si="7"/>
        <v>0</v>
      </c>
      <c r="N98" s="321">
        <f t="shared" si="13"/>
        <v>17.712719999999997</v>
      </c>
      <c r="O98" s="321">
        <f t="shared" si="9"/>
        <v>0</v>
      </c>
      <c r="P98" s="526"/>
    </row>
    <row r="99" spans="1:16" s="315" customFormat="1" ht="13.5" thickBot="1">
      <c r="A99" s="1086"/>
      <c r="B99" s="319"/>
      <c r="C99" s="336" t="s">
        <v>258</v>
      </c>
      <c r="D99" s="337" t="s">
        <v>223</v>
      </c>
      <c r="E99" s="338">
        <v>56.71</v>
      </c>
      <c r="F99" s="38">
        <f t="shared" si="0"/>
        <v>34.025999999999996</v>
      </c>
      <c r="G99" s="41">
        <f t="shared" si="1"/>
        <v>0</v>
      </c>
      <c r="H99" s="39">
        <f t="shared" si="10"/>
        <v>2.875197</v>
      </c>
      <c r="I99" s="39">
        <f t="shared" si="3"/>
        <v>0</v>
      </c>
      <c r="J99" s="39">
        <f t="shared" si="11"/>
        <v>1.0888319999999998</v>
      </c>
      <c r="K99" s="39">
        <f t="shared" si="5"/>
        <v>0</v>
      </c>
      <c r="L99" s="39">
        <f t="shared" si="12"/>
        <v>0.8948837999999999</v>
      </c>
      <c r="M99" s="39">
        <f t="shared" si="7"/>
        <v>0</v>
      </c>
      <c r="N99" s="39">
        <f t="shared" si="13"/>
        <v>0.74516939999999987</v>
      </c>
      <c r="O99" s="39">
        <f t="shared" si="9"/>
        <v>0</v>
      </c>
      <c r="P99" s="526"/>
    </row>
    <row r="100" spans="1:16" s="315" customFormat="1" ht="13.5" thickBot="1">
      <c r="A100" s="1086"/>
      <c r="B100" s="325"/>
      <c r="C100" s="336" t="s">
        <v>259</v>
      </c>
      <c r="D100" s="337" t="s">
        <v>436</v>
      </c>
      <c r="E100" s="338">
        <v>32.1</v>
      </c>
      <c r="F100" s="38">
        <f t="shared" si="0"/>
        <v>19.260000000000002</v>
      </c>
      <c r="G100" s="41">
        <f t="shared" si="1"/>
        <v>0</v>
      </c>
      <c r="H100" s="39">
        <f t="shared" si="10"/>
        <v>1.6274700000000002</v>
      </c>
      <c r="I100" s="39">
        <f t="shared" si="3"/>
        <v>0</v>
      </c>
      <c r="J100" s="39">
        <f t="shared" si="11"/>
        <v>0.61632000000000009</v>
      </c>
      <c r="K100" s="39">
        <f t="shared" si="5"/>
        <v>0</v>
      </c>
      <c r="L100" s="39">
        <f t="shared" si="12"/>
        <v>0.50653800000000004</v>
      </c>
      <c r="M100" s="39">
        <f t="shared" si="7"/>
        <v>0</v>
      </c>
      <c r="N100" s="39">
        <f t="shared" si="13"/>
        <v>0.421794</v>
      </c>
      <c r="O100" s="39">
        <f t="shared" si="9"/>
        <v>0</v>
      </c>
      <c r="P100" s="526"/>
    </row>
    <row r="101" spans="1:16" s="315" customFormat="1" ht="13.5" thickBot="1">
      <c r="A101" s="1086"/>
      <c r="B101" s="318"/>
      <c r="C101" s="340" t="s">
        <v>527</v>
      </c>
      <c r="D101" s="337" t="s">
        <v>224</v>
      </c>
      <c r="E101" s="338">
        <v>35.31</v>
      </c>
      <c r="F101" s="320">
        <f t="shared" si="0"/>
        <v>21.186</v>
      </c>
      <c r="G101" s="322">
        <f t="shared" si="1"/>
        <v>0</v>
      </c>
      <c r="H101" s="321">
        <f t="shared" si="10"/>
        <v>1.7902170000000002</v>
      </c>
      <c r="I101" s="321">
        <f t="shared" si="3"/>
        <v>0</v>
      </c>
      <c r="J101" s="321">
        <f t="shared" si="11"/>
        <v>0.677952</v>
      </c>
      <c r="K101" s="321">
        <f t="shared" si="5"/>
        <v>0</v>
      </c>
      <c r="L101" s="321">
        <f t="shared" si="12"/>
        <v>0.55719180000000001</v>
      </c>
      <c r="M101" s="321">
        <f t="shared" si="7"/>
        <v>0</v>
      </c>
      <c r="N101" s="321">
        <f t="shared" si="13"/>
        <v>0.46397339999999998</v>
      </c>
      <c r="O101" s="321">
        <f t="shared" si="9"/>
        <v>0</v>
      </c>
      <c r="P101" s="526"/>
    </row>
    <row r="102" spans="1:16" s="315" customFormat="1" ht="26.25" thickBot="1">
      <c r="A102" s="1086"/>
      <c r="B102" s="318"/>
      <c r="C102" s="336" t="s">
        <v>298</v>
      </c>
      <c r="D102" s="337" t="s">
        <v>4044</v>
      </c>
      <c r="E102" s="338">
        <v>669.82</v>
      </c>
      <c r="F102" s="38">
        <f t="shared" si="0"/>
        <v>401.892</v>
      </c>
      <c r="G102" s="41">
        <f t="shared" si="1"/>
        <v>0</v>
      </c>
      <c r="H102" s="39">
        <f t="shared" si="10"/>
        <v>33.959873999999999</v>
      </c>
      <c r="I102" s="39">
        <f t="shared" si="3"/>
        <v>0</v>
      </c>
      <c r="J102" s="39">
        <f t="shared" si="11"/>
        <v>12.860544000000001</v>
      </c>
      <c r="K102" s="39">
        <f t="shared" si="5"/>
        <v>0</v>
      </c>
      <c r="L102" s="39">
        <f t="shared" si="12"/>
        <v>10.569759599999999</v>
      </c>
      <c r="M102" s="39">
        <f t="shared" si="7"/>
        <v>0</v>
      </c>
      <c r="N102" s="39">
        <f t="shared" si="13"/>
        <v>8.8014347999999991</v>
      </c>
      <c r="O102" s="39">
        <f t="shared" si="9"/>
        <v>0</v>
      </c>
      <c r="P102" s="526"/>
    </row>
    <row r="103" spans="1:16" s="315" customFormat="1" ht="13.5" thickBot="1">
      <c r="A103" s="1086"/>
      <c r="B103" s="319"/>
      <c r="C103" s="340" t="s">
        <v>530</v>
      </c>
      <c r="D103" s="337" t="s">
        <v>3950</v>
      </c>
      <c r="E103" s="338">
        <v>306.02</v>
      </c>
      <c r="F103" s="320">
        <f t="shared" si="0"/>
        <v>183.61199999999999</v>
      </c>
      <c r="G103" s="322">
        <f t="shared" si="1"/>
        <v>0</v>
      </c>
      <c r="H103" s="321">
        <f t="shared" si="10"/>
        <v>15.515214</v>
      </c>
      <c r="I103" s="321">
        <f t="shared" si="3"/>
        <v>0</v>
      </c>
      <c r="J103" s="321">
        <f t="shared" si="11"/>
        <v>5.8755839999999999</v>
      </c>
      <c r="K103" s="321">
        <f t="shared" si="5"/>
        <v>0</v>
      </c>
      <c r="L103" s="321">
        <f t="shared" si="12"/>
        <v>4.8289955999999998</v>
      </c>
      <c r="M103" s="321">
        <f t="shared" si="7"/>
        <v>0</v>
      </c>
      <c r="N103" s="321">
        <f t="shared" si="13"/>
        <v>4.0211027999999995</v>
      </c>
      <c r="O103" s="321">
        <f t="shared" si="9"/>
        <v>0</v>
      </c>
      <c r="P103" s="526"/>
    </row>
    <row r="104" spans="1:16" s="315" customFormat="1" ht="13.5" thickBot="1">
      <c r="A104" s="1086"/>
      <c r="B104" s="318"/>
      <c r="C104" s="336" t="s">
        <v>299</v>
      </c>
      <c r="D104" s="337" t="s">
        <v>437</v>
      </c>
      <c r="E104" s="338">
        <v>348.82</v>
      </c>
      <c r="F104" s="320">
        <f t="shared" si="0"/>
        <v>209.292</v>
      </c>
      <c r="G104" s="322">
        <f t="shared" si="1"/>
        <v>0</v>
      </c>
      <c r="H104" s="321">
        <f t="shared" si="10"/>
        <v>17.685174</v>
      </c>
      <c r="I104" s="321">
        <f t="shared" si="3"/>
        <v>0</v>
      </c>
      <c r="J104" s="321">
        <f t="shared" si="11"/>
        <v>6.6973440000000002</v>
      </c>
      <c r="K104" s="321">
        <f t="shared" si="5"/>
        <v>0</v>
      </c>
      <c r="L104" s="321">
        <f t="shared" si="12"/>
        <v>5.5043796</v>
      </c>
      <c r="M104" s="321">
        <f t="shared" si="7"/>
        <v>0</v>
      </c>
      <c r="N104" s="321">
        <f t="shared" si="13"/>
        <v>4.5834947999999995</v>
      </c>
      <c r="O104" s="321">
        <f t="shared" si="9"/>
        <v>0</v>
      </c>
      <c r="P104" s="526"/>
    </row>
    <row r="105" spans="1:16" ht="13.5" thickBot="1">
      <c r="A105" s="1086"/>
      <c r="B105" s="316"/>
      <c r="C105" s="476" t="s">
        <v>3880</v>
      </c>
      <c r="D105" s="478" t="s">
        <v>225</v>
      </c>
      <c r="E105" s="480">
        <v>132.68</v>
      </c>
      <c r="F105" s="320">
        <f t="shared" si="0"/>
        <v>79.608000000000004</v>
      </c>
      <c r="G105" s="322">
        <f t="shared" si="1"/>
        <v>0</v>
      </c>
      <c r="H105" s="321">
        <f t="shared" si="10"/>
        <v>6.7268760000000007</v>
      </c>
      <c r="I105" s="321">
        <f t="shared" si="3"/>
        <v>0</v>
      </c>
      <c r="J105" s="344">
        <f t="shared" si="11"/>
        <v>2.5474560000000004</v>
      </c>
      <c r="K105" s="321">
        <f t="shared" si="5"/>
        <v>0</v>
      </c>
      <c r="L105" s="321">
        <f t="shared" si="12"/>
        <v>2.0936904000000003</v>
      </c>
      <c r="M105" s="321">
        <f t="shared" si="7"/>
        <v>0</v>
      </c>
      <c r="N105" s="344">
        <f t="shared" si="13"/>
        <v>1.7434152000000001</v>
      </c>
      <c r="O105" s="321">
        <f t="shared" si="9"/>
        <v>0</v>
      </c>
      <c r="P105" s="526"/>
    </row>
    <row r="106" spans="1:16" s="315" customFormat="1" ht="13.5" thickBot="1">
      <c r="A106" s="1087"/>
      <c r="B106" s="319"/>
      <c r="C106" s="336" t="s">
        <v>369</v>
      </c>
      <c r="D106" s="337" t="s">
        <v>3913</v>
      </c>
      <c r="E106" s="338">
        <v>5896.77</v>
      </c>
      <c r="F106" s="320">
        <f t="shared" si="0"/>
        <v>3538.0620000000004</v>
      </c>
      <c r="G106" s="322">
        <f t="shared" si="1"/>
        <v>0</v>
      </c>
      <c r="H106" s="321">
        <f t="shared" si="10"/>
        <v>298.96623900000003</v>
      </c>
      <c r="I106" s="321">
        <f t="shared" si="3"/>
        <v>0</v>
      </c>
      <c r="J106" s="321">
        <f t="shared" si="11"/>
        <v>113.21798400000002</v>
      </c>
      <c r="K106" s="321">
        <f t="shared" si="5"/>
        <v>0</v>
      </c>
      <c r="L106" s="321">
        <f t="shared" si="12"/>
        <v>93.051030600000004</v>
      </c>
      <c r="M106" s="321">
        <f t="shared" si="7"/>
        <v>0</v>
      </c>
      <c r="N106" s="321">
        <f t="shared" si="13"/>
        <v>77.4835578</v>
      </c>
      <c r="O106" s="321">
        <f t="shared" si="9"/>
        <v>0</v>
      </c>
      <c r="P106" s="526"/>
    </row>
    <row r="107" spans="1:16" s="315" customFormat="1" ht="15">
      <c r="B107" s="256"/>
      <c r="C107" s="256"/>
      <c r="D107" s="1008" t="s">
        <v>65</v>
      </c>
      <c r="E107" s="1088"/>
      <c r="F107" s="1088"/>
      <c r="G107" s="328">
        <f t="array" ref="G107">SUM(G49:G106)+G37:G48:G106+G41:G48:G106+G45</f>
        <v>0</v>
      </c>
      <c r="H107" s="329" t="s">
        <v>66</v>
      </c>
      <c r="I107" s="328">
        <f t="array" ref="I107">SUM(I49:I106)+I37:I48:I106+I41:I48:I106+I45</f>
        <v>0</v>
      </c>
      <c r="J107" s="329" t="s">
        <v>67</v>
      </c>
      <c r="K107" s="328">
        <f t="array" ref="K107">SUM(K49:K106)+K37:K48:K106+K41:K48:K106+K45</f>
        <v>0</v>
      </c>
      <c r="L107" s="329" t="s">
        <v>68</v>
      </c>
      <c r="M107" s="328">
        <f t="array" ref="M107">SUM(M49:M106)+M37:M48:M106+M41:M48:M106+M45</f>
        <v>0</v>
      </c>
      <c r="N107" s="329" t="s">
        <v>69</v>
      </c>
      <c r="O107" s="328">
        <f t="array" ref="O107">SUM(O49:O106)+O37:O48:O106+O41:O48:O106+O45</f>
        <v>0</v>
      </c>
    </row>
    <row r="108" spans="1:16">
      <c r="F108" s="330"/>
      <c r="G108" s="330"/>
      <c r="H108" s="331"/>
    </row>
    <row r="109" spans="1:16" ht="15" customHeight="1">
      <c r="B109" s="332"/>
      <c r="F109" s="330"/>
      <c r="G109" s="330"/>
    </row>
    <row r="110" spans="1:16" ht="15" customHeight="1">
      <c r="B110" s="332"/>
      <c r="F110" s="330"/>
      <c r="G110" s="330"/>
    </row>
    <row r="111" spans="1:16">
      <c r="F111" s="330"/>
      <c r="G111" s="330"/>
    </row>
    <row r="112" spans="1:16">
      <c r="F112" s="330"/>
      <c r="G112" s="330"/>
    </row>
    <row r="113" spans="2:7">
      <c r="F113" s="330"/>
      <c r="G113" s="330"/>
    </row>
    <row r="114" spans="2:7">
      <c r="F114" s="330"/>
      <c r="G114" s="330"/>
    </row>
    <row r="115" spans="2:7">
      <c r="F115" s="330"/>
      <c r="G115" s="330"/>
    </row>
    <row r="116" spans="2:7">
      <c r="F116" s="330"/>
      <c r="G116" s="330"/>
    </row>
    <row r="117" spans="2:7">
      <c r="F117" s="330"/>
      <c r="G117" s="330"/>
    </row>
    <row r="118" spans="2:7">
      <c r="F118" s="330"/>
      <c r="G118" s="330"/>
    </row>
    <row r="119" spans="2:7">
      <c r="F119" s="330"/>
      <c r="G119" s="330"/>
    </row>
    <row r="120" spans="2:7">
      <c r="F120" s="330"/>
      <c r="G120" s="330"/>
    </row>
    <row r="121" spans="2:7">
      <c r="F121" s="330"/>
      <c r="G121" s="330"/>
    </row>
    <row r="122" spans="2:7">
      <c r="F122" s="330"/>
      <c r="G122" s="330"/>
    </row>
    <row r="123" spans="2:7">
      <c r="F123" s="330"/>
      <c r="G123" s="330"/>
    </row>
    <row r="124" spans="2:7">
      <c r="F124" s="330"/>
      <c r="G124" s="330"/>
    </row>
    <row r="125" spans="2:7">
      <c r="F125" s="330"/>
      <c r="G125" s="330"/>
    </row>
    <row r="126" spans="2:7">
      <c r="B126" s="332"/>
      <c r="C126" s="332"/>
      <c r="F126" s="330"/>
      <c r="G126" s="330"/>
    </row>
    <row r="127" spans="2:7">
      <c r="F127" s="330"/>
      <c r="G127" s="330"/>
    </row>
    <row r="128" spans="2:7">
      <c r="F128" s="330"/>
      <c r="G128" s="330"/>
    </row>
    <row r="129" spans="6:7">
      <c r="F129" s="330"/>
      <c r="G129" s="330"/>
    </row>
    <row r="130" spans="6:7">
      <c r="F130" s="330"/>
      <c r="G130" s="330"/>
    </row>
    <row r="131" spans="6:7">
      <c r="F131" s="330"/>
      <c r="G131" s="330"/>
    </row>
    <row r="132" spans="6:7">
      <c r="F132" s="330"/>
      <c r="G132" s="330"/>
    </row>
    <row r="133" spans="6:7">
      <c r="F133" s="330"/>
      <c r="G133" s="330"/>
    </row>
    <row r="134" spans="6:7">
      <c r="F134" s="330"/>
      <c r="G134" s="330"/>
    </row>
    <row r="135" spans="6:7">
      <c r="F135" s="330"/>
      <c r="G135" s="330"/>
    </row>
    <row r="136" spans="6:7">
      <c r="F136" s="330"/>
      <c r="G136" s="330"/>
    </row>
    <row r="137" spans="6:7">
      <c r="F137" s="330"/>
      <c r="G137" s="330"/>
    </row>
    <row r="138" spans="6:7">
      <c r="F138" s="330"/>
      <c r="G138" s="330"/>
    </row>
    <row r="139" spans="6:7">
      <c r="F139" s="330"/>
      <c r="G139" s="330"/>
    </row>
    <row r="140" spans="6:7">
      <c r="F140" s="330"/>
      <c r="G140" s="330"/>
    </row>
    <row r="141" spans="6:7">
      <c r="F141" s="330"/>
      <c r="G141" s="330"/>
    </row>
    <row r="142" spans="6:7">
      <c r="F142" s="330"/>
      <c r="G142" s="330"/>
    </row>
    <row r="143" spans="6:7">
      <c r="F143" s="330"/>
      <c r="G143" s="330"/>
    </row>
    <row r="144" spans="6:7">
      <c r="F144" s="330"/>
      <c r="G144" s="330"/>
    </row>
    <row r="145" spans="6:7">
      <c r="F145" s="330"/>
      <c r="G145" s="330"/>
    </row>
    <row r="146" spans="6:7">
      <c r="F146" s="330"/>
      <c r="G146" s="330"/>
    </row>
    <row r="147" spans="6:7">
      <c r="F147" s="330"/>
      <c r="G147" s="330"/>
    </row>
    <row r="148" spans="6:7">
      <c r="F148" s="330"/>
      <c r="G148" s="330"/>
    </row>
    <row r="149" spans="6:7">
      <c r="F149" s="330"/>
      <c r="G149" s="330"/>
    </row>
    <row r="150" spans="6:7">
      <c r="F150" s="330"/>
      <c r="G150" s="330"/>
    </row>
    <row r="151" spans="6:7">
      <c r="F151" s="330"/>
      <c r="G151" s="330"/>
    </row>
    <row r="152" spans="6:7">
      <c r="F152" s="330"/>
      <c r="G152" s="330"/>
    </row>
    <row r="153" spans="6:7">
      <c r="F153" s="330"/>
      <c r="G153" s="330"/>
    </row>
    <row r="154" spans="6:7">
      <c r="F154" s="330"/>
      <c r="G154" s="330"/>
    </row>
    <row r="155" spans="6:7">
      <c r="F155" s="330"/>
      <c r="G155" s="330"/>
    </row>
    <row r="156" spans="6:7">
      <c r="F156" s="330"/>
      <c r="G156" s="330"/>
    </row>
    <row r="157" spans="6:7">
      <c r="F157" s="330"/>
      <c r="G157" s="330"/>
    </row>
    <row r="158" spans="6:7">
      <c r="F158" s="330"/>
      <c r="G158" s="330"/>
    </row>
    <row r="159" spans="6:7">
      <c r="F159" s="330"/>
      <c r="G159" s="330"/>
    </row>
    <row r="160" spans="6:7">
      <c r="F160" s="330"/>
      <c r="G160" s="330"/>
    </row>
    <row r="161" spans="6:7">
      <c r="F161" s="330"/>
      <c r="G161" s="330"/>
    </row>
    <row r="162" spans="6:7">
      <c r="F162" s="330"/>
      <c r="G162" s="330"/>
    </row>
    <row r="163" spans="6:7">
      <c r="F163" s="330"/>
      <c r="G163" s="330"/>
    </row>
    <row r="164" spans="6:7">
      <c r="F164" s="330"/>
      <c r="G164" s="330"/>
    </row>
    <row r="165" spans="6:7">
      <c r="F165" s="330"/>
      <c r="G165" s="330"/>
    </row>
    <row r="166" spans="6:7">
      <c r="F166" s="330"/>
      <c r="G166" s="330"/>
    </row>
    <row r="167" spans="6:7">
      <c r="F167" s="330"/>
      <c r="G167" s="330"/>
    </row>
    <row r="168" spans="6:7">
      <c r="F168" s="330"/>
      <c r="G168" s="330"/>
    </row>
    <row r="169" spans="6:7">
      <c r="F169" s="330"/>
      <c r="G169" s="330"/>
    </row>
    <row r="170" spans="6:7">
      <c r="F170" s="330"/>
      <c r="G170" s="330"/>
    </row>
    <row r="171" spans="6:7">
      <c r="F171" s="330"/>
      <c r="G171" s="330"/>
    </row>
    <row r="172" spans="6:7">
      <c r="F172" s="330"/>
      <c r="G172" s="330"/>
    </row>
    <row r="173" spans="6:7">
      <c r="F173" s="330"/>
      <c r="G173" s="330"/>
    </row>
    <row r="174" spans="6:7">
      <c r="F174" s="330"/>
      <c r="G174" s="330"/>
    </row>
    <row r="175" spans="6:7">
      <c r="F175" s="330"/>
      <c r="G175" s="330"/>
    </row>
    <row r="176" spans="6:7">
      <c r="F176" s="330"/>
      <c r="G176" s="330"/>
    </row>
    <row r="177" spans="6:7">
      <c r="F177" s="330"/>
      <c r="G177" s="330"/>
    </row>
    <row r="178" spans="6:7">
      <c r="F178" s="330"/>
      <c r="G178" s="330"/>
    </row>
    <row r="179" spans="6:7">
      <c r="F179" s="330"/>
      <c r="G179" s="330"/>
    </row>
    <row r="180" spans="6:7">
      <c r="F180" s="330"/>
      <c r="G180" s="330"/>
    </row>
    <row r="181" spans="6:7">
      <c r="F181" s="330"/>
      <c r="G181" s="330"/>
    </row>
    <row r="182" spans="6:7">
      <c r="F182" s="330"/>
      <c r="G182" s="330"/>
    </row>
    <row r="183" spans="6:7">
      <c r="F183" s="330"/>
      <c r="G183" s="330"/>
    </row>
    <row r="184" spans="6:7">
      <c r="F184" s="330"/>
      <c r="G184" s="330"/>
    </row>
    <row r="185" spans="6:7">
      <c r="F185" s="330"/>
      <c r="G185" s="330"/>
    </row>
    <row r="186" spans="6:7">
      <c r="F186" s="330"/>
      <c r="G186" s="330"/>
    </row>
    <row r="187" spans="6:7">
      <c r="F187" s="330"/>
      <c r="G187" s="330"/>
    </row>
    <row r="188" spans="6:7">
      <c r="F188" s="330"/>
      <c r="G188" s="330"/>
    </row>
    <row r="189" spans="6:7">
      <c r="F189" s="330"/>
      <c r="G189" s="330"/>
    </row>
    <row r="190" spans="6:7">
      <c r="F190" s="330"/>
      <c r="G190" s="330"/>
    </row>
    <row r="191" spans="6:7">
      <c r="F191" s="330"/>
      <c r="G191" s="330"/>
    </row>
    <row r="192" spans="6:7">
      <c r="F192" s="330"/>
      <c r="G192" s="330"/>
    </row>
    <row r="193" spans="6:7">
      <c r="F193" s="330"/>
      <c r="G193" s="330"/>
    </row>
    <row r="194" spans="6:7">
      <c r="F194" s="330"/>
      <c r="G194" s="330"/>
    </row>
    <row r="195" spans="6:7">
      <c r="F195" s="330"/>
      <c r="G195" s="330"/>
    </row>
    <row r="196" spans="6:7">
      <c r="F196" s="330"/>
      <c r="G196" s="330"/>
    </row>
    <row r="197" spans="6:7">
      <c r="F197" s="330"/>
      <c r="G197" s="330"/>
    </row>
    <row r="198" spans="6:7">
      <c r="F198" s="330"/>
      <c r="G198" s="330"/>
    </row>
    <row r="199" spans="6:7">
      <c r="F199" s="330"/>
      <c r="G199" s="330"/>
    </row>
    <row r="200" spans="6:7">
      <c r="F200" s="330"/>
      <c r="G200" s="330"/>
    </row>
    <row r="201" spans="6:7">
      <c r="F201" s="330"/>
      <c r="G201" s="330"/>
    </row>
    <row r="202" spans="6:7">
      <c r="F202" s="330"/>
      <c r="G202" s="330"/>
    </row>
    <row r="203" spans="6:7">
      <c r="F203" s="330"/>
      <c r="G203" s="330"/>
    </row>
    <row r="204" spans="6:7">
      <c r="F204" s="330"/>
      <c r="G204" s="330"/>
    </row>
    <row r="205" spans="6:7">
      <c r="F205" s="330"/>
      <c r="G205" s="330"/>
    </row>
    <row r="206" spans="6:7">
      <c r="F206" s="330"/>
      <c r="G206" s="330"/>
    </row>
    <row r="207" spans="6:7">
      <c r="F207" s="330"/>
      <c r="G207" s="330"/>
    </row>
    <row r="208" spans="6:7">
      <c r="F208" s="330"/>
      <c r="G208" s="330"/>
    </row>
    <row r="209" spans="6:7">
      <c r="F209" s="330"/>
      <c r="G209" s="330"/>
    </row>
    <row r="210" spans="6:7">
      <c r="F210" s="330"/>
      <c r="G210" s="330"/>
    </row>
    <row r="211" spans="6:7">
      <c r="F211" s="330"/>
      <c r="G211" s="330"/>
    </row>
    <row r="212" spans="6:7">
      <c r="F212" s="330"/>
      <c r="G212" s="330"/>
    </row>
  </sheetData>
  <mergeCells count="58">
    <mergeCell ref="A4:O4"/>
    <mergeCell ref="A5:O5"/>
    <mergeCell ref="F10:I10"/>
    <mergeCell ref="A26:O26"/>
    <mergeCell ref="A27:D27"/>
    <mergeCell ref="E27:K27"/>
    <mergeCell ref="L27:O27"/>
    <mergeCell ref="A29:C29"/>
    <mergeCell ref="E29:H29"/>
    <mergeCell ref="I29:K29"/>
    <mergeCell ref="L29:M29"/>
    <mergeCell ref="N29:O29"/>
    <mergeCell ref="A28:C28"/>
    <mergeCell ref="E28:H28"/>
    <mergeCell ref="I28:K28"/>
    <mergeCell ref="L28:M28"/>
    <mergeCell ref="N28:O28"/>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K41:K43"/>
    <mergeCell ref="M41:M43"/>
    <mergeCell ref="O41:O43"/>
    <mergeCell ref="A37:A39"/>
    <mergeCell ref="B37:B39"/>
    <mergeCell ref="G37:G39"/>
    <mergeCell ref="I37:I39"/>
    <mergeCell ref="K37:K39"/>
    <mergeCell ref="M37:M39"/>
    <mergeCell ref="F35:G35"/>
    <mergeCell ref="O45:O47"/>
    <mergeCell ref="A48:O48"/>
    <mergeCell ref="A49:A106"/>
    <mergeCell ref="D107:F107"/>
    <mergeCell ref="A45:A47"/>
    <mergeCell ref="B45:B47"/>
    <mergeCell ref="G45:G47"/>
    <mergeCell ref="I45:I47"/>
    <mergeCell ref="K45:K47"/>
    <mergeCell ref="M45:M47"/>
    <mergeCell ref="O37:O39"/>
    <mergeCell ref="A41:A43"/>
    <mergeCell ref="B41:B43"/>
    <mergeCell ref="G41:G43"/>
    <mergeCell ref="I41:I43"/>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736C-C23F-4798-AD4C-0D841211C123}">
  <sheetPr>
    <tabColor indexed="62"/>
  </sheetPr>
  <dimension ref="A1:P212"/>
  <sheetViews>
    <sheetView topLeftCell="A7" zoomScale="90" zoomScaleNormal="90" workbookViewId="0">
      <selection activeCell="E37" sqref="E37:F37"/>
    </sheetView>
  </sheetViews>
  <sheetFormatPr defaultColWidth="8.85546875" defaultRowHeight="12.75"/>
  <cols>
    <col min="1" max="1" width="14.28515625" style="256" customWidth="1"/>
    <col min="2" max="2" width="8.7109375" style="256" customWidth="1"/>
    <col min="3" max="3" width="19" style="256" customWidth="1"/>
    <col min="4" max="4" width="46.7109375" style="256" customWidth="1"/>
    <col min="5" max="5" width="24" style="256" customWidth="1"/>
    <col min="6" max="6" width="18.28515625" style="333" customWidth="1"/>
    <col min="7" max="7" width="16" style="333" customWidth="1"/>
    <col min="8" max="8" width="24.5703125" style="256" bestFit="1" customWidth="1"/>
    <col min="9" max="9" width="23" style="256" customWidth="1"/>
    <col min="10" max="10" width="25" style="256" bestFit="1" customWidth="1"/>
    <col min="11" max="11" width="23" style="256" customWidth="1"/>
    <col min="12" max="12" width="25" style="256" bestFit="1" customWidth="1"/>
    <col min="13" max="13" width="23" style="256" customWidth="1"/>
    <col min="14" max="14" width="25" style="256" bestFit="1" customWidth="1"/>
    <col min="15" max="15" width="23" style="256" customWidth="1"/>
    <col min="16" max="16" width="12.42578125" style="256" customWidth="1"/>
    <col min="17" max="16384" width="8.85546875" style="256"/>
  </cols>
  <sheetData>
    <row r="1" spans="1:15" ht="13.5" thickBot="1">
      <c r="B1" s="257"/>
      <c r="C1" s="257"/>
      <c r="D1" s="258"/>
      <c r="E1" s="258"/>
      <c r="F1" s="259"/>
      <c r="G1" s="259"/>
      <c r="H1" s="259"/>
      <c r="I1" s="259"/>
      <c r="J1" s="259"/>
      <c r="K1" s="258"/>
      <c r="L1" s="259"/>
    </row>
    <row r="2" spans="1:15" ht="9" customHeight="1">
      <c r="A2" s="260"/>
      <c r="B2" s="261"/>
      <c r="C2" s="261"/>
      <c r="D2" s="262"/>
      <c r="E2" s="262"/>
      <c r="F2" s="263"/>
      <c r="G2" s="263"/>
      <c r="H2" s="263"/>
      <c r="I2" s="264"/>
      <c r="J2" s="264"/>
      <c r="K2" s="264"/>
      <c r="L2" s="264"/>
      <c r="M2" s="260"/>
      <c r="N2" s="260"/>
      <c r="O2" s="260"/>
    </row>
    <row r="3" spans="1:15" ht="10.5" customHeight="1">
      <c r="B3" s="257"/>
      <c r="C3" s="257"/>
      <c r="D3" s="258"/>
      <c r="E3" s="258"/>
      <c r="F3" s="259"/>
      <c r="G3" s="259"/>
      <c r="H3" s="259"/>
      <c r="I3" s="265"/>
      <c r="J3" s="265"/>
      <c r="K3" s="265"/>
      <c r="L3" s="265"/>
    </row>
    <row r="4" spans="1:15" ht="36" customHeight="1">
      <c r="A4" s="1112" t="s">
        <v>438</v>
      </c>
      <c r="B4" s="1112"/>
      <c r="C4" s="1112"/>
      <c r="D4" s="1112"/>
      <c r="E4" s="1112"/>
      <c r="F4" s="1112"/>
      <c r="G4" s="1112"/>
      <c r="H4" s="1112"/>
      <c r="I4" s="1112"/>
      <c r="J4" s="1112"/>
      <c r="K4" s="1112"/>
      <c r="L4" s="1112"/>
      <c r="M4" s="1112"/>
      <c r="N4" s="1112"/>
      <c r="O4" s="1112"/>
    </row>
    <row r="5" spans="1:15" s="266" customFormat="1" ht="61.5" customHeight="1">
      <c r="A5" s="1113" t="s">
        <v>405</v>
      </c>
      <c r="B5" s="1113"/>
      <c r="C5" s="1113"/>
      <c r="D5" s="1113"/>
      <c r="E5" s="1113"/>
      <c r="F5" s="1113"/>
      <c r="G5" s="1113"/>
      <c r="H5" s="1113"/>
      <c r="I5" s="1113"/>
      <c r="J5" s="1113"/>
      <c r="K5" s="1113"/>
      <c r="L5" s="1113"/>
      <c r="M5" s="1113"/>
      <c r="N5" s="1113"/>
      <c r="O5" s="1113"/>
    </row>
    <row r="6" spans="1:15" ht="9" customHeight="1" thickBot="1">
      <c r="A6" s="267"/>
      <c r="B6" s="267"/>
      <c r="C6" s="267"/>
      <c r="D6" s="267"/>
      <c r="E6" s="267"/>
      <c r="F6" s="267"/>
      <c r="G6" s="267"/>
      <c r="H6" s="267"/>
      <c r="I6" s="267"/>
      <c r="J6" s="267"/>
      <c r="K6" s="267"/>
      <c r="L6" s="267"/>
      <c r="M6" s="267"/>
      <c r="N6" s="267"/>
      <c r="O6" s="267"/>
    </row>
    <row r="9" spans="1:15" s="265" customFormat="1" ht="14.25">
      <c r="B9" s="268"/>
      <c r="C9" s="268"/>
      <c r="D9" s="269"/>
      <c r="E9" s="269"/>
      <c r="F9" s="269"/>
      <c r="G9" s="269"/>
      <c r="H9" s="269"/>
      <c r="I9" s="269"/>
      <c r="J9" s="269"/>
      <c r="K9" s="269"/>
      <c r="L9" s="269"/>
      <c r="M9" s="269"/>
      <c r="N9" s="269"/>
      <c r="O9" s="269"/>
    </row>
    <row r="10" spans="1:15" s="265" customFormat="1" ht="14.25">
      <c r="F10" s="1046" t="s">
        <v>0</v>
      </c>
      <c r="G10" s="1046"/>
      <c r="H10" s="1046"/>
      <c r="I10" s="1046"/>
      <c r="J10" s="256"/>
      <c r="K10" s="256"/>
      <c r="L10" s="256"/>
    </row>
    <row r="11" spans="1:15" s="265" customFormat="1" ht="14.25">
      <c r="F11" s="270" t="s">
        <v>261</v>
      </c>
      <c r="G11" s="271" t="s">
        <v>262</v>
      </c>
      <c r="I11" s="272"/>
      <c r="L11" s="272"/>
    </row>
    <row r="12" spans="1:15" s="265" customFormat="1" ht="14.25">
      <c r="F12" s="270" t="s">
        <v>263</v>
      </c>
      <c r="G12" s="630" t="s">
        <v>264</v>
      </c>
      <c r="I12" s="272"/>
      <c r="J12" s="273"/>
      <c r="L12" s="272"/>
    </row>
    <row r="13" spans="1:15" s="265" customFormat="1" ht="14.25">
      <c r="F13" s="270" t="s">
        <v>265</v>
      </c>
      <c r="G13" s="630" t="s">
        <v>266</v>
      </c>
      <c r="I13" s="272"/>
      <c r="L13" s="272"/>
    </row>
    <row r="14" spans="1:15" s="265" customFormat="1" ht="14.25">
      <c r="F14" s="270" t="s">
        <v>7</v>
      </c>
      <c r="G14" s="265" t="s">
        <v>439</v>
      </c>
      <c r="I14" s="272"/>
      <c r="J14" s="272"/>
      <c r="L14" s="272"/>
    </row>
    <row r="15" spans="1:15" s="265" customFormat="1" ht="14.25">
      <c r="D15" s="274"/>
      <c r="E15" s="274"/>
      <c r="F15" s="270" t="s">
        <v>8</v>
      </c>
      <c r="G15" s="265" t="s">
        <v>440</v>
      </c>
      <c r="I15" s="272"/>
      <c r="J15" s="272"/>
      <c r="L15" s="272"/>
    </row>
    <row r="16" spans="1:15" s="265" customFormat="1" ht="14.25">
      <c r="F16" s="270" t="s">
        <v>10</v>
      </c>
      <c r="G16" s="265" t="s">
        <v>408</v>
      </c>
      <c r="I16" s="272"/>
      <c r="J16" s="272"/>
      <c r="L16" s="272"/>
    </row>
    <row r="17" spans="1:15" s="265" customFormat="1" ht="14.25">
      <c r="F17" s="270" t="s">
        <v>409</v>
      </c>
      <c r="G17" s="265" t="s">
        <v>410</v>
      </c>
      <c r="I17" s="272"/>
      <c r="J17" s="272"/>
      <c r="L17" s="272"/>
    </row>
    <row r="18" spans="1:15" s="265" customFormat="1" ht="14.25">
      <c r="F18" s="270" t="s">
        <v>185</v>
      </c>
      <c r="G18" s="265" t="s">
        <v>441</v>
      </c>
      <c r="I18" s="275"/>
      <c r="J18" s="275"/>
      <c r="L18" s="275"/>
    </row>
    <row r="19" spans="1:15" s="265" customFormat="1" ht="14.25">
      <c r="F19" s="270"/>
      <c r="G19" s="265" t="s">
        <v>442</v>
      </c>
      <c r="I19" s="275"/>
      <c r="J19" s="275"/>
      <c r="L19" s="275"/>
    </row>
    <row r="20" spans="1:15" s="265" customFormat="1" ht="14.25">
      <c r="F20" s="270" t="s">
        <v>14</v>
      </c>
      <c r="G20" s="265" t="s">
        <v>413</v>
      </c>
      <c r="I20" s="275"/>
      <c r="J20" s="275"/>
      <c r="L20" s="275"/>
    </row>
    <row r="21" spans="1:15" s="265" customFormat="1" ht="14.25">
      <c r="F21" s="276"/>
      <c r="G21" s="265" t="s">
        <v>414</v>
      </c>
      <c r="I21" s="275"/>
      <c r="J21" s="275"/>
      <c r="L21" s="275"/>
    </row>
    <row r="22" spans="1:15" s="265" customFormat="1" ht="14.25">
      <c r="F22" s="270" t="s">
        <v>18</v>
      </c>
      <c r="G22" s="265" t="s">
        <v>273</v>
      </c>
      <c r="I22" s="275"/>
      <c r="J22" s="275"/>
      <c r="L22" s="275"/>
    </row>
    <row r="23" spans="1:15" s="265" customFormat="1" ht="14.25">
      <c r="F23" s="270" t="s">
        <v>276</v>
      </c>
      <c r="G23" s="630" t="s">
        <v>277</v>
      </c>
      <c r="I23" s="275"/>
      <c r="J23" s="275"/>
      <c r="L23" s="275"/>
    </row>
    <row r="24" spans="1:15" s="265" customFormat="1" ht="14.25">
      <c r="F24" s="270" t="s">
        <v>26</v>
      </c>
      <c r="G24" s="265" t="s">
        <v>415</v>
      </c>
      <c r="I24" s="275"/>
      <c r="J24" s="275"/>
      <c r="L24" s="275"/>
    </row>
    <row r="25" spans="1:15" s="265" customFormat="1" ht="14.25">
      <c r="D25" s="277"/>
      <c r="E25" s="277"/>
      <c r="F25" s="270" t="s">
        <v>28</v>
      </c>
      <c r="G25" s="278" t="s">
        <v>416</v>
      </c>
      <c r="K25" s="275"/>
    </row>
    <row r="26" spans="1:15" s="265" customFormat="1" ht="15" thickBot="1">
      <c r="A26" s="1111" t="s">
        <v>30</v>
      </c>
      <c r="B26" s="1167"/>
      <c r="C26" s="1167"/>
      <c r="D26" s="1167"/>
      <c r="E26" s="1167"/>
      <c r="F26" s="1167"/>
      <c r="G26" s="1167"/>
      <c r="H26" s="1167"/>
      <c r="I26" s="1167"/>
      <c r="J26" s="1167"/>
      <c r="K26" s="1167"/>
      <c r="L26" s="1167"/>
      <c r="M26" s="1167"/>
      <c r="N26" s="1167"/>
      <c r="O26" s="1167"/>
    </row>
    <row r="27" spans="1:15" s="265" customFormat="1" ht="14.25">
      <c r="A27" s="1105" t="s">
        <v>417</v>
      </c>
      <c r="B27" s="1106"/>
      <c r="C27" s="1106"/>
      <c r="D27" s="1107"/>
      <c r="E27" s="1108" t="s">
        <v>418</v>
      </c>
      <c r="F27" s="1168"/>
      <c r="G27" s="1168"/>
      <c r="H27" s="1168"/>
      <c r="I27" s="1168"/>
      <c r="J27" s="1168"/>
      <c r="K27" s="1169"/>
      <c r="L27" s="1105" t="s">
        <v>419</v>
      </c>
      <c r="M27" s="1106"/>
      <c r="N27" s="1106"/>
      <c r="O27" s="1107"/>
    </row>
    <row r="28" spans="1:15" s="265" customFormat="1" ht="12.75" customHeight="1">
      <c r="A28" s="1028" t="s">
        <v>33</v>
      </c>
      <c r="B28" s="1029"/>
      <c r="C28" s="1029"/>
      <c r="D28" s="279" t="s">
        <v>34</v>
      </c>
      <c r="E28" s="1028" t="s">
        <v>33</v>
      </c>
      <c r="F28" s="1029"/>
      <c r="G28" s="1029"/>
      <c r="H28" s="1029"/>
      <c r="I28" s="1093" t="s">
        <v>35</v>
      </c>
      <c r="J28" s="1093"/>
      <c r="K28" s="1117"/>
      <c r="L28" s="1028" t="s">
        <v>33</v>
      </c>
      <c r="M28" s="1029"/>
      <c r="N28" s="1095" t="s">
        <v>35</v>
      </c>
      <c r="O28" s="1096"/>
    </row>
    <row r="29" spans="1:15" s="265" customFormat="1" ht="12.75" customHeight="1">
      <c r="A29" s="1028" t="s">
        <v>199</v>
      </c>
      <c r="B29" s="1029"/>
      <c r="C29" s="1029"/>
      <c r="D29" s="280">
        <v>0</v>
      </c>
      <c r="E29" s="1028" t="s">
        <v>199</v>
      </c>
      <c r="F29" s="1029"/>
      <c r="G29" s="1029"/>
      <c r="H29" s="1029"/>
      <c r="I29" s="1102">
        <v>856</v>
      </c>
      <c r="J29" s="1102"/>
      <c r="K29" s="1170"/>
      <c r="L29" s="1028" t="s">
        <v>199</v>
      </c>
      <c r="M29" s="1029"/>
      <c r="N29" s="1103">
        <v>1127</v>
      </c>
      <c r="O29" s="1104"/>
    </row>
    <row r="30" spans="1:15" s="265" customFormat="1" ht="12.75" customHeight="1">
      <c r="A30" s="1028" t="s">
        <v>37</v>
      </c>
      <c r="B30" s="1029"/>
      <c r="C30" s="1029"/>
      <c r="D30" s="279" t="s">
        <v>38</v>
      </c>
      <c r="E30" s="1028" t="s">
        <v>37</v>
      </c>
      <c r="F30" s="1029"/>
      <c r="G30" s="1029"/>
      <c r="H30" s="1029"/>
      <c r="I30" s="1093" t="s">
        <v>396</v>
      </c>
      <c r="J30" s="1093"/>
      <c r="K30" s="1117"/>
      <c r="L30" s="1028" t="s">
        <v>37</v>
      </c>
      <c r="M30" s="1029"/>
      <c r="N30" s="1095" t="s">
        <v>397</v>
      </c>
      <c r="O30" s="1096"/>
    </row>
    <row r="31" spans="1:15" s="265" customFormat="1" ht="12.75" customHeight="1">
      <c r="A31" s="1028" t="s">
        <v>202</v>
      </c>
      <c r="B31" s="1029"/>
      <c r="C31" s="1029"/>
      <c r="D31" s="279" t="s">
        <v>420</v>
      </c>
      <c r="E31" s="1028" t="s">
        <v>204</v>
      </c>
      <c r="F31" s="1020"/>
      <c r="G31" s="1020"/>
      <c r="H31" s="1020"/>
      <c r="I31" s="1093" t="s">
        <v>421</v>
      </c>
      <c r="J31" s="1115"/>
      <c r="K31" s="1094"/>
      <c r="L31" s="1028" t="s">
        <v>40</v>
      </c>
      <c r="M31" s="1020"/>
      <c r="N31" s="1095" t="s">
        <v>421</v>
      </c>
      <c r="O31" s="1096"/>
    </row>
    <row r="32" spans="1:15" s="265" customFormat="1" ht="12.75" customHeight="1" thickBot="1">
      <c r="A32" s="1031" t="s">
        <v>285</v>
      </c>
      <c r="B32" s="1032"/>
      <c r="C32" s="1032"/>
      <c r="D32" s="281" t="s">
        <v>286</v>
      </c>
      <c r="E32" s="1031" t="s">
        <v>285</v>
      </c>
      <c r="F32" s="1032"/>
      <c r="G32" s="1033"/>
      <c r="H32" s="1033"/>
      <c r="I32" s="1097" t="s">
        <v>287</v>
      </c>
      <c r="J32" s="1097"/>
      <c r="K32" s="1116"/>
      <c r="L32" s="1031" t="s">
        <v>285</v>
      </c>
      <c r="M32" s="1033"/>
      <c r="N32" s="1033" t="s">
        <v>287</v>
      </c>
      <c r="O32" s="1034"/>
    </row>
    <row r="33" spans="1:15" s="265" customFormat="1" ht="12.75" customHeight="1">
      <c r="B33" s="282"/>
      <c r="C33" s="282"/>
      <c r="D33" s="277"/>
      <c r="E33" s="277"/>
      <c r="F33" s="283"/>
      <c r="G33" s="283"/>
      <c r="I33" s="266"/>
      <c r="J33" s="266"/>
      <c r="K33" s="266"/>
      <c r="L33" s="266"/>
    </row>
    <row r="34" spans="1:15" s="265" customFormat="1" ht="18" customHeight="1" thickBot="1">
      <c r="C34" s="277"/>
      <c r="D34" s="283"/>
      <c r="E34" s="284"/>
      <c r="F34" s="256"/>
      <c r="G34" s="285"/>
      <c r="H34" s="286"/>
      <c r="I34" s="287"/>
      <c r="J34" s="288"/>
    </row>
    <row r="35" spans="1:15" s="265" customFormat="1" ht="15.75" customHeight="1" thickBot="1">
      <c r="F35" s="1021" t="s">
        <v>43</v>
      </c>
      <c r="G35" s="1195"/>
      <c r="H35" s="1023" t="s">
        <v>44</v>
      </c>
      <c r="I35" s="1024"/>
      <c r="J35" s="1024"/>
      <c r="K35" s="1024"/>
      <c r="L35" s="1024"/>
      <c r="M35" s="1024"/>
      <c r="N35" s="1024"/>
      <c r="O35" s="1198"/>
    </row>
    <row r="36" spans="1:15" s="291" customFormat="1" ht="57.75" customHeight="1" thickBot="1">
      <c r="A36" s="289" t="s">
        <v>45</v>
      </c>
      <c r="B36" s="289" t="s">
        <v>46</v>
      </c>
      <c r="C36" s="290" t="s">
        <v>47</v>
      </c>
      <c r="D36" s="290" t="s">
        <v>48</v>
      </c>
      <c r="E36" s="290" t="s">
        <v>49</v>
      </c>
      <c r="F36" s="290" t="s">
        <v>50</v>
      </c>
      <c r="G36" s="289" t="s">
        <v>51</v>
      </c>
      <c r="H36" s="290" t="s">
        <v>52</v>
      </c>
      <c r="I36" s="289" t="s">
        <v>51</v>
      </c>
      <c r="J36" s="290" t="s">
        <v>53</v>
      </c>
      <c r="K36" s="289" t="s">
        <v>51</v>
      </c>
      <c r="L36" s="290" t="s">
        <v>54</v>
      </c>
      <c r="M36" s="289" t="s">
        <v>51</v>
      </c>
      <c r="N36" s="290" t="s">
        <v>55</v>
      </c>
      <c r="O36" s="289" t="s">
        <v>51</v>
      </c>
    </row>
    <row r="37" spans="1:15" s="296" customFormat="1" ht="26.25" thickBot="1">
      <c r="A37" s="1014">
        <v>15</v>
      </c>
      <c r="B37" s="1190"/>
      <c r="C37" s="341" t="s">
        <v>443</v>
      </c>
      <c r="D37" s="342" t="s">
        <v>444</v>
      </c>
      <c r="E37" s="292">
        <v>39677.74</v>
      </c>
      <c r="F37" s="735">
        <f>SUM(E37:E39)*(1-83%)</f>
        <v>6837.1858000000011</v>
      </c>
      <c r="G37" s="1026">
        <f>F37*B37</f>
        <v>0</v>
      </c>
      <c r="H37" s="294">
        <f>F37*0.0845</f>
        <v>577.7422001000001</v>
      </c>
      <c r="I37" s="1026">
        <f>H37*B37</f>
        <v>0</v>
      </c>
      <c r="J37" s="294">
        <f>F37*0.032</f>
        <v>218.78994560000004</v>
      </c>
      <c r="K37" s="1026">
        <f>J37*B37</f>
        <v>0</v>
      </c>
      <c r="L37" s="295">
        <f>F37*0.0263</f>
        <v>179.81798654000002</v>
      </c>
      <c r="M37" s="1026">
        <f>L37*B37</f>
        <v>0</v>
      </c>
      <c r="N37" s="295">
        <f>F37*0.0219</f>
        <v>149.73436902000003</v>
      </c>
      <c r="O37" s="1026">
        <f>N37*B37</f>
        <v>0</v>
      </c>
    </row>
    <row r="38" spans="1:15" s="302" customFormat="1" ht="13.5" thickBot="1">
      <c r="A38" s="1015"/>
      <c r="B38" s="1193"/>
      <c r="C38" s="297" t="s">
        <v>307</v>
      </c>
      <c r="D38" s="298" t="s">
        <v>240</v>
      </c>
      <c r="E38" s="299">
        <v>282</v>
      </c>
      <c r="F38" s="736" t="s">
        <v>35</v>
      </c>
      <c r="G38" s="1192"/>
      <c r="H38" s="300" t="s">
        <v>35</v>
      </c>
      <c r="I38" s="1192"/>
      <c r="J38" s="300" t="s">
        <v>35</v>
      </c>
      <c r="K38" s="1192"/>
      <c r="L38" s="301" t="s">
        <v>35</v>
      </c>
      <c r="M38" s="1192"/>
      <c r="N38" s="301" t="s">
        <v>35</v>
      </c>
      <c r="O38" s="1192"/>
    </row>
    <row r="39" spans="1:15" s="302" customFormat="1" ht="13.5" thickBot="1">
      <c r="A39" s="1016"/>
      <c r="B39" s="1194"/>
      <c r="C39" s="303" t="s">
        <v>56</v>
      </c>
      <c r="D39" s="304" t="s">
        <v>424</v>
      </c>
      <c r="E39" s="305">
        <v>259</v>
      </c>
      <c r="F39" s="737" t="s">
        <v>35</v>
      </c>
      <c r="G39" s="1018"/>
      <c r="H39" s="306" t="s">
        <v>35</v>
      </c>
      <c r="I39" s="1018"/>
      <c r="J39" s="306" t="s">
        <v>35</v>
      </c>
      <c r="K39" s="1018"/>
      <c r="L39" s="301" t="e">
        <f>F39*0.0263</f>
        <v>#VALUE!</v>
      </c>
      <c r="M39" s="1018"/>
      <c r="N39" s="301" t="s">
        <v>35</v>
      </c>
      <c r="O39" s="1018"/>
    </row>
    <row r="40" spans="1:15" s="302" customFormat="1" ht="13.5" thickBot="1">
      <c r="A40" s="307"/>
      <c r="B40" s="308"/>
      <c r="C40" s="309"/>
      <c r="D40" s="310"/>
      <c r="E40" s="311"/>
      <c r="F40" s="738"/>
      <c r="G40" s="308"/>
      <c r="H40" s="312"/>
      <c r="I40" s="308"/>
      <c r="J40" s="312"/>
      <c r="K40" s="313"/>
      <c r="L40" s="314"/>
      <c r="M40" s="308"/>
      <c r="N40" s="314"/>
      <c r="O40" s="313"/>
    </row>
    <row r="41" spans="1:15" s="296" customFormat="1" ht="26.25" thickBot="1">
      <c r="A41" s="1014" t="s">
        <v>425</v>
      </c>
      <c r="B41" s="1190"/>
      <c r="C41" s="341" t="s">
        <v>443</v>
      </c>
      <c r="D41" s="342" t="s">
        <v>444</v>
      </c>
      <c r="E41" s="292">
        <v>39677.74</v>
      </c>
      <c r="F41" s="739">
        <f>SUM(E41:E43)*(1-83%)</f>
        <v>6837.1858000000011</v>
      </c>
      <c r="G41" s="1011">
        <f>F41*B41</f>
        <v>0</v>
      </c>
      <c r="H41" s="29">
        <f>F41*0.0845+I29/12</f>
        <v>649.07553343333348</v>
      </c>
      <c r="I41" s="1011">
        <f>H41*B41</f>
        <v>0</v>
      </c>
      <c r="J41" s="29">
        <f>F41*0.032+I29/12</f>
        <v>290.12327893333338</v>
      </c>
      <c r="K41" s="1011">
        <f>J41*B41</f>
        <v>0</v>
      </c>
      <c r="L41" s="30">
        <f>F41*0.0263+I29/12</f>
        <v>251.15131987333336</v>
      </c>
      <c r="M41" s="1011">
        <f>L41*B41</f>
        <v>0</v>
      </c>
      <c r="N41" s="30">
        <f>F41*0.0219+I29/12</f>
        <v>221.06770235333335</v>
      </c>
      <c r="O41" s="1011">
        <f>N41*B41</f>
        <v>0</v>
      </c>
    </row>
    <row r="42" spans="1:15" s="302" customFormat="1" ht="13.5" thickBot="1">
      <c r="A42" s="1015"/>
      <c r="B42" s="1193"/>
      <c r="C42" s="297" t="s">
        <v>307</v>
      </c>
      <c r="D42" s="298" t="s">
        <v>240</v>
      </c>
      <c r="E42" s="299">
        <v>282</v>
      </c>
      <c r="F42" s="736" t="s">
        <v>35</v>
      </c>
      <c r="G42" s="1012"/>
      <c r="H42" s="31" t="s">
        <v>35</v>
      </c>
      <c r="I42" s="1012"/>
      <c r="J42" s="31" t="s">
        <v>35</v>
      </c>
      <c r="K42" s="1012"/>
      <c r="L42" s="32" t="s">
        <v>35</v>
      </c>
      <c r="M42" s="1012"/>
      <c r="N42" s="32" t="s">
        <v>35</v>
      </c>
      <c r="O42" s="1012"/>
    </row>
    <row r="43" spans="1:15" s="302" customFormat="1" ht="13.5" thickBot="1">
      <c r="A43" s="1016"/>
      <c r="B43" s="1194"/>
      <c r="C43" s="303" t="s">
        <v>56</v>
      </c>
      <c r="D43" s="304" t="s">
        <v>424</v>
      </c>
      <c r="E43" s="305">
        <v>259</v>
      </c>
      <c r="F43" s="737" t="s">
        <v>35</v>
      </c>
      <c r="G43" s="1013"/>
      <c r="H43" s="300" t="s">
        <v>35</v>
      </c>
      <c r="I43" s="1013"/>
      <c r="J43" s="300" t="s">
        <v>35</v>
      </c>
      <c r="K43" s="1013"/>
      <c r="L43" s="301" t="s">
        <v>35</v>
      </c>
      <c r="M43" s="1013"/>
      <c r="N43" s="301" t="s">
        <v>35</v>
      </c>
      <c r="O43" s="1013"/>
    </row>
    <row r="44" spans="1:15" s="302" customFormat="1" ht="13.5" thickBot="1">
      <c r="A44" s="307"/>
      <c r="B44" s="308"/>
      <c r="C44" s="309"/>
      <c r="D44" s="310"/>
      <c r="E44" s="311"/>
      <c r="F44" s="740"/>
      <c r="G44" s="34"/>
      <c r="H44" s="33"/>
      <c r="I44" s="34"/>
      <c r="J44" s="33"/>
      <c r="K44" s="35"/>
      <c r="L44" s="36"/>
      <c r="M44" s="34"/>
      <c r="N44" s="36"/>
      <c r="O44" s="35"/>
    </row>
    <row r="45" spans="1:15" s="296" customFormat="1" ht="26.25" thickBot="1">
      <c r="A45" s="1014" t="s">
        <v>426</v>
      </c>
      <c r="B45" s="1190"/>
      <c r="C45" s="341" t="s">
        <v>443</v>
      </c>
      <c r="D45" s="342" t="s">
        <v>444</v>
      </c>
      <c r="E45" s="292">
        <v>39677.74</v>
      </c>
      <c r="F45" s="735">
        <f>SUM(E45:E47)*(1-83%)</f>
        <v>6837.1858000000011</v>
      </c>
      <c r="G45" s="1011">
        <f>F45*B45</f>
        <v>0</v>
      </c>
      <c r="H45" s="29">
        <f>F45*0.0845+N29/12</f>
        <v>671.65886676666673</v>
      </c>
      <c r="I45" s="1011">
        <f>H45*B45</f>
        <v>0</v>
      </c>
      <c r="J45" s="29">
        <f>F45*0.032+N29/12</f>
        <v>312.7066122666667</v>
      </c>
      <c r="K45" s="1011">
        <f>J45*B45</f>
        <v>0</v>
      </c>
      <c r="L45" s="30">
        <f>F45*0.0263+N29/12</f>
        <v>273.73465320666668</v>
      </c>
      <c r="M45" s="1011">
        <f>L45*B45</f>
        <v>0</v>
      </c>
      <c r="N45" s="30">
        <f>F45*0.0219+N29/12</f>
        <v>243.65103568666672</v>
      </c>
      <c r="O45" s="1011">
        <f>N45*B45</f>
        <v>0</v>
      </c>
    </row>
    <row r="46" spans="1:15" s="302" customFormat="1" ht="13.5" thickBot="1">
      <c r="A46" s="1015"/>
      <c r="B46" s="1193"/>
      <c r="C46" s="297" t="s">
        <v>307</v>
      </c>
      <c r="D46" s="298" t="s">
        <v>240</v>
      </c>
      <c r="E46" s="299">
        <v>282</v>
      </c>
      <c r="F46" s="736" t="s">
        <v>35</v>
      </c>
      <c r="G46" s="1012"/>
      <c r="H46" s="300" t="s">
        <v>35</v>
      </c>
      <c r="I46" s="1012"/>
      <c r="J46" s="300" t="s">
        <v>35</v>
      </c>
      <c r="K46" s="1012"/>
      <c r="L46" s="301" t="s">
        <v>35</v>
      </c>
      <c r="M46" s="1012"/>
      <c r="N46" s="301" t="s">
        <v>35</v>
      </c>
      <c r="O46" s="1012"/>
    </row>
    <row r="47" spans="1:15" s="302" customFormat="1" ht="13.5" thickBot="1">
      <c r="A47" s="1016"/>
      <c r="B47" s="1194"/>
      <c r="C47" s="303" t="s">
        <v>56</v>
      </c>
      <c r="D47" s="304" t="s">
        <v>424</v>
      </c>
      <c r="E47" s="305">
        <v>259</v>
      </c>
      <c r="F47" s="741" t="s">
        <v>35</v>
      </c>
      <c r="G47" s="1013"/>
      <c r="H47" s="31" t="s">
        <v>35</v>
      </c>
      <c r="I47" s="1013"/>
      <c r="J47" s="31" t="s">
        <v>35</v>
      </c>
      <c r="K47" s="1013"/>
      <c r="L47" s="32" t="s">
        <v>35</v>
      </c>
      <c r="M47" s="1013"/>
      <c r="N47" s="32" t="s">
        <v>35</v>
      </c>
      <c r="O47" s="1013"/>
    </row>
    <row r="48" spans="1:15" s="315" customFormat="1" ht="13.5" customHeight="1" thickBot="1">
      <c r="A48" s="1129" t="s">
        <v>59</v>
      </c>
      <c r="B48" s="1196"/>
      <c r="C48" s="1196"/>
      <c r="D48" s="1196"/>
      <c r="E48" s="1196"/>
      <c r="F48" s="1196"/>
      <c r="G48" s="1196"/>
      <c r="H48" s="1196"/>
      <c r="I48" s="1196"/>
      <c r="J48" s="1196"/>
      <c r="K48" s="1196"/>
      <c r="L48" s="1196"/>
      <c r="M48" s="1196"/>
      <c r="N48" s="1196"/>
      <c r="O48" s="1197"/>
    </row>
    <row r="49" spans="1:16" s="302" customFormat="1" ht="13.5" thickBot="1">
      <c r="A49" s="1086"/>
      <c r="B49" s="319"/>
      <c r="C49" s="340" t="s">
        <v>103</v>
      </c>
      <c r="D49" s="337" t="s">
        <v>104</v>
      </c>
      <c r="E49" s="338">
        <v>129.99</v>
      </c>
      <c r="F49" s="320">
        <f t="shared" ref="F49:F82" si="0">E49*(1-40%)</f>
        <v>77.994</v>
      </c>
      <c r="G49" s="322">
        <f t="shared" ref="G49:G82" si="1">F49*B49</f>
        <v>0</v>
      </c>
      <c r="H49" s="321">
        <f t="shared" ref="H49:H82" si="2">F49*0.0845</f>
        <v>6.5904930000000004</v>
      </c>
      <c r="I49" s="321">
        <f t="shared" ref="I49:I82" si="3">H49*B49</f>
        <v>0</v>
      </c>
      <c r="J49" s="321">
        <f t="shared" ref="J49:J82" si="4">F49*0.032</f>
        <v>2.4958080000000002</v>
      </c>
      <c r="K49" s="321">
        <f t="shared" ref="K49:K82" si="5">J49*B49</f>
        <v>0</v>
      </c>
      <c r="L49" s="321">
        <f t="shared" ref="L49:L82" si="6">F49*0.0263</f>
        <v>2.0512421999999999</v>
      </c>
      <c r="M49" s="321">
        <f t="shared" ref="M49:M82" si="7">L49*B49</f>
        <v>0</v>
      </c>
      <c r="N49" s="321">
        <f t="shared" ref="N49:N82" si="8">F49*0.0219</f>
        <v>1.7080686</v>
      </c>
      <c r="O49" s="321">
        <f t="shared" ref="O49:O82" si="9">N49*B49</f>
        <v>0</v>
      </c>
      <c r="P49" s="526"/>
    </row>
    <row r="50" spans="1:16" s="315" customFormat="1" ht="26.25" thickBot="1">
      <c r="A50" s="1086"/>
      <c r="B50" s="317"/>
      <c r="C50" s="336" t="s">
        <v>105</v>
      </c>
      <c r="D50" s="337" t="s">
        <v>325</v>
      </c>
      <c r="E50" s="338">
        <v>399</v>
      </c>
      <c r="F50" s="320">
        <f t="shared" si="0"/>
        <v>239.39999999999998</v>
      </c>
      <c r="G50" s="322">
        <f t="shared" si="1"/>
        <v>0</v>
      </c>
      <c r="H50" s="321">
        <f t="shared" si="2"/>
        <v>20.229299999999999</v>
      </c>
      <c r="I50" s="321">
        <f t="shared" si="3"/>
        <v>0</v>
      </c>
      <c r="J50" s="321">
        <f t="shared" si="4"/>
        <v>7.6607999999999992</v>
      </c>
      <c r="K50" s="321">
        <f t="shared" si="5"/>
        <v>0</v>
      </c>
      <c r="L50" s="321">
        <f t="shared" si="6"/>
        <v>6.2962199999999999</v>
      </c>
      <c r="M50" s="321">
        <f t="shared" si="7"/>
        <v>0</v>
      </c>
      <c r="N50" s="321">
        <f t="shared" si="8"/>
        <v>5.2428599999999994</v>
      </c>
      <c r="O50" s="321">
        <f t="shared" si="9"/>
        <v>0</v>
      </c>
      <c r="P50" s="526"/>
    </row>
    <row r="51" spans="1:16" s="315" customFormat="1" ht="13.5" thickBot="1">
      <c r="A51" s="1086"/>
      <c r="B51" s="318"/>
      <c r="C51" s="336" t="s">
        <v>107</v>
      </c>
      <c r="D51" s="337" t="s">
        <v>108</v>
      </c>
      <c r="E51" s="338">
        <v>250</v>
      </c>
      <c r="F51" s="320">
        <f t="shared" si="0"/>
        <v>150</v>
      </c>
      <c r="G51" s="322">
        <f t="shared" si="1"/>
        <v>0</v>
      </c>
      <c r="H51" s="321">
        <f t="shared" si="2"/>
        <v>12.675000000000001</v>
      </c>
      <c r="I51" s="321">
        <f t="shared" si="3"/>
        <v>0</v>
      </c>
      <c r="J51" s="321">
        <f t="shared" si="4"/>
        <v>4.8</v>
      </c>
      <c r="K51" s="321">
        <f t="shared" si="5"/>
        <v>0</v>
      </c>
      <c r="L51" s="321">
        <f t="shared" si="6"/>
        <v>3.9450000000000003</v>
      </c>
      <c r="M51" s="321">
        <f t="shared" si="7"/>
        <v>0</v>
      </c>
      <c r="N51" s="321">
        <f t="shared" si="8"/>
        <v>3.2849999999999997</v>
      </c>
      <c r="O51" s="321">
        <f t="shared" si="9"/>
        <v>0</v>
      </c>
      <c r="P51" s="526"/>
    </row>
    <row r="52" spans="1:16" s="315" customFormat="1" ht="13.5" thickBot="1">
      <c r="A52" s="1086"/>
      <c r="B52" s="318"/>
      <c r="C52" s="475" t="s">
        <v>109</v>
      </c>
      <c r="D52" s="477" t="s">
        <v>110</v>
      </c>
      <c r="E52" s="479">
        <v>400</v>
      </c>
      <c r="F52" s="320">
        <f t="shared" si="0"/>
        <v>240</v>
      </c>
      <c r="G52" s="322">
        <f t="shared" si="1"/>
        <v>0</v>
      </c>
      <c r="H52" s="321">
        <f t="shared" si="2"/>
        <v>20.28</v>
      </c>
      <c r="I52" s="343">
        <f t="shared" si="3"/>
        <v>0</v>
      </c>
      <c r="J52" s="321">
        <f t="shared" si="4"/>
        <v>7.68</v>
      </c>
      <c r="K52" s="343">
        <f t="shared" si="5"/>
        <v>0</v>
      </c>
      <c r="L52" s="321">
        <f t="shared" si="6"/>
        <v>6.3120000000000003</v>
      </c>
      <c r="M52" s="343">
        <f t="shared" si="7"/>
        <v>0</v>
      </c>
      <c r="N52" s="321">
        <f t="shared" si="8"/>
        <v>5.2560000000000002</v>
      </c>
      <c r="O52" s="343">
        <f t="shared" si="9"/>
        <v>0</v>
      </c>
      <c r="P52" s="526"/>
    </row>
    <row r="53" spans="1:16" s="315" customFormat="1" ht="13.5" thickBot="1">
      <c r="A53" s="1086"/>
      <c r="B53" s="317"/>
      <c r="C53" s="336" t="s">
        <v>111</v>
      </c>
      <c r="D53" s="337" t="s">
        <v>112</v>
      </c>
      <c r="E53" s="338">
        <v>499</v>
      </c>
      <c r="F53" s="320">
        <f t="shared" si="0"/>
        <v>299.39999999999998</v>
      </c>
      <c r="G53" s="322">
        <f t="shared" si="1"/>
        <v>0</v>
      </c>
      <c r="H53" s="321">
        <f t="shared" si="2"/>
        <v>25.299299999999999</v>
      </c>
      <c r="I53" s="321">
        <f t="shared" si="3"/>
        <v>0</v>
      </c>
      <c r="J53" s="321">
        <f t="shared" si="4"/>
        <v>9.5808</v>
      </c>
      <c r="K53" s="321">
        <f t="shared" si="5"/>
        <v>0</v>
      </c>
      <c r="L53" s="321">
        <f t="shared" si="6"/>
        <v>7.8742199999999993</v>
      </c>
      <c r="M53" s="321">
        <f t="shared" si="7"/>
        <v>0</v>
      </c>
      <c r="N53" s="321">
        <f t="shared" si="8"/>
        <v>6.5568599999999995</v>
      </c>
      <c r="O53" s="321">
        <f t="shared" si="9"/>
        <v>0</v>
      </c>
      <c r="P53" s="526"/>
    </row>
    <row r="54" spans="1:16" s="315" customFormat="1" ht="13.5" thickBot="1">
      <c r="A54" s="1086"/>
      <c r="B54" s="318"/>
      <c r="C54" s="336" t="s">
        <v>77</v>
      </c>
      <c r="D54" s="337" t="s">
        <v>169</v>
      </c>
      <c r="E54" s="338">
        <v>329</v>
      </c>
      <c r="F54" s="320">
        <f t="shared" si="0"/>
        <v>197.4</v>
      </c>
      <c r="G54" s="322">
        <f t="shared" si="1"/>
        <v>0</v>
      </c>
      <c r="H54" s="321">
        <f t="shared" si="2"/>
        <v>16.680300000000003</v>
      </c>
      <c r="I54" s="321">
        <f t="shared" si="3"/>
        <v>0</v>
      </c>
      <c r="J54" s="321">
        <f t="shared" si="4"/>
        <v>6.3168000000000006</v>
      </c>
      <c r="K54" s="321">
        <f t="shared" si="5"/>
        <v>0</v>
      </c>
      <c r="L54" s="321">
        <f t="shared" si="6"/>
        <v>5.1916200000000003</v>
      </c>
      <c r="M54" s="321">
        <f t="shared" si="7"/>
        <v>0</v>
      </c>
      <c r="N54" s="321">
        <f t="shared" si="8"/>
        <v>4.3230599999999999</v>
      </c>
      <c r="O54" s="321">
        <f t="shared" si="9"/>
        <v>0</v>
      </c>
      <c r="P54" s="526"/>
    </row>
    <row r="55" spans="1:16" s="315" customFormat="1" ht="13.5" thickBot="1">
      <c r="A55" s="1086"/>
      <c r="B55" s="318"/>
      <c r="C55" s="336" t="s">
        <v>292</v>
      </c>
      <c r="D55" s="337" t="s">
        <v>427</v>
      </c>
      <c r="E55" s="338">
        <v>1044.75</v>
      </c>
      <c r="F55" s="320">
        <f t="shared" si="0"/>
        <v>626.85</v>
      </c>
      <c r="G55" s="322">
        <f t="shared" si="1"/>
        <v>0</v>
      </c>
      <c r="H55" s="321">
        <f t="shared" si="2"/>
        <v>52.968825000000002</v>
      </c>
      <c r="I55" s="321">
        <f t="shared" si="3"/>
        <v>0</v>
      </c>
      <c r="J55" s="321">
        <f t="shared" si="4"/>
        <v>20.059200000000001</v>
      </c>
      <c r="K55" s="321">
        <f t="shared" si="5"/>
        <v>0</v>
      </c>
      <c r="L55" s="321">
        <f t="shared" si="6"/>
        <v>16.486155</v>
      </c>
      <c r="M55" s="321">
        <f t="shared" si="7"/>
        <v>0</v>
      </c>
      <c r="N55" s="321">
        <f t="shared" si="8"/>
        <v>13.728014999999999</v>
      </c>
      <c r="O55" s="321">
        <f t="shared" si="9"/>
        <v>0</v>
      </c>
      <c r="P55" s="526"/>
    </row>
    <row r="56" spans="1:16" s="315" customFormat="1" ht="13.5" thickBot="1">
      <c r="A56" s="1086"/>
      <c r="B56" s="319"/>
      <c r="C56" s="336" t="s">
        <v>293</v>
      </c>
      <c r="D56" s="337" t="s">
        <v>3927</v>
      </c>
      <c r="E56" s="338">
        <v>1044.75</v>
      </c>
      <c r="F56" s="320">
        <f t="shared" si="0"/>
        <v>626.85</v>
      </c>
      <c r="G56" s="322">
        <f t="shared" si="1"/>
        <v>0</v>
      </c>
      <c r="H56" s="321">
        <f t="shared" si="2"/>
        <v>52.968825000000002</v>
      </c>
      <c r="I56" s="321">
        <f t="shared" si="3"/>
        <v>0</v>
      </c>
      <c r="J56" s="321">
        <f t="shared" si="4"/>
        <v>20.059200000000001</v>
      </c>
      <c r="K56" s="321">
        <f t="shared" si="5"/>
        <v>0</v>
      </c>
      <c r="L56" s="321">
        <f t="shared" si="6"/>
        <v>16.486155</v>
      </c>
      <c r="M56" s="321">
        <f t="shared" si="7"/>
        <v>0</v>
      </c>
      <c r="N56" s="321">
        <f t="shared" si="8"/>
        <v>13.728014999999999</v>
      </c>
      <c r="O56" s="321">
        <f t="shared" si="9"/>
        <v>0</v>
      </c>
      <c r="P56" s="526"/>
    </row>
    <row r="57" spans="1:16" s="315" customFormat="1" ht="13.5" thickBot="1">
      <c r="A57" s="1086"/>
      <c r="B57" s="316"/>
      <c r="C57" s="336" t="s">
        <v>294</v>
      </c>
      <c r="D57" s="337" t="s">
        <v>428</v>
      </c>
      <c r="E57" s="338">
        <v>5676.3</v>
      </c>
      <c r="F57" s="320">
        <f t="shared" si="0"/>
        <v>3405.78</v>
      </c>
      <c r="G57" s="322">
        <f t="shared" si="1"/>
        <v>0</v>
      </c>
      <c r="H57" s="321">
        <f t="shared" si="2"/>
        <v>287.78841000000006</v>
      </c>
      <c r="I57" s="321">
        <f t="shared" si="3"/>
        <v>0</v>
      </c>
      <c r="J57" s="321">
        <f t="shared" si="4"/>
        <v>108.98496000000002</v>
      </c>
      <c r="K57" s="321">
        <f t="shared" si="5"/>
        <v>0</v>
      </c>
      <c r="L57" s="321">
        <f t="shared" si="6"/>
        <v>89.57201400000001</v>
      </c>
      <c r="M57" s="321">
        <f t="shared" si="7"/>
        <v>0</v>
      </c>
      <c r="N57" s="321">
        <f t="shared" si="8"/>
        <v>74.586582000000007</v>
      </c>
      <c r="O57" s="321">
        <f t="shared" si="9"/>
        <v>0</v>
      </c>
      <c r="P57" s="526"/>
    </row>
    <row r="58" spans="1:16" s="315" customFormat="1" ht="13.5" thickBot="1">
      <c r="A58" s="1086"/>
      <c r="B58" s="323"/>
      <c r="C58" s="336" t="s">
        <v>241</v>
      </c>
      <c r="D58" s="337" t="s">
        <v>3853</v>
      </c>
      <c r="E58" s="338">
        <v>235.4</v>
      </c>
      <c r="F58" s="320">
        <f t="shared" si="0"/>
        <v>141.24</v>
      </c>
      <c r="G58" s="322">
        <f t="shared" si="1"/>
        <v>0</v>
      </c>
      <c r="H58" s="321">
        <f t="shared" si="2"/>
        <v>11.934780000000002</v>
      </c>
      <c r="I58" s="321">
        <f t="shared" si="3"/>
        <v>0</v>
      </c>
      <c r="J58" s="321">
        <f t="shared" si="4"/>
        <v>4.5196800000000001</v>
      </c>
      <c r="K58" s="321">
        <f t="shared" si="5"/>
        <v>0</v>
      </c>
      <c r="L58" s="321">
        <f t="shared" si="6"/>
        <v>3.7146120000000002</v>
      </c>
      <c r="M58" s="321">
        <f t="shared" si="7"/>
        <v>0</v>
      </c>
      <c r="N58" s="321">
        <f t="shared" si="8"/>
        <v>3.093156</v>
      </c>
      <c r="O58" s="321">
        <f t="shared" si="9"/>
        <v>0</v>
      </c>
      <c r="P58" s="526"/>
    </row>
    <row r="59" spans="1:16" s="315" customFormat="1" ht="13.5" thickBot="1">
      <c r="A59" s="1086"/>
      <c r="B59" s="316"/>
      <c r="C59" s="336" t="s">
        <v>242</v>
      </c>
      <c r="D59" s="337" t="s">
        <v>3854</v>
      </c>
      <c r="E59" s="338">
        <v>328.49</v>
      </c>
      <c r="F59" s="320">
        <f t="shared" si="0"/>
        <v>197.09399999999999</v>
      </c>
      <c r="G59" s="322">
        <f t="shared" si="1"/>
        <v>0</v>
      </c>
      <c r="H59" s="321">
        <f t="shared" si="2"/>
        <v>16.654443000000001</v>
      </c>
      <c r="I59" s="321">
        <f t="shared" si="3"/>
        <v>0</v>
      </c>
      <c r="J59" s="321">
        <f t="shared" si="4"/>
        <v>6.3070079999999997</v>
      </c>
      <c r="K59" s="321">
        <f t="shared" si="5"/>
        <v>0</v>
      </c>
      <c r="L59" s="321">
        <f t="shared" si="6"/>
        <v>5.1835721999999995</v>
      </c>
      <c r="M59" s="321">
        <f t="shared" si="7"/>
        <v>0</v>
      </c>
      <c r="N59" s="321">
        <f t="shared" si="8"/>
        <v>4.3163586</v>
      </c>
      <c r="O59" s="321">
        <f t="shared" si="9"/>
        <v>0</v>
      </c>
      <c r="P59" s="526"/>
    </row>
    <row r="60" spans="1:16" s="315" customFormat="1" ht="13.5" thickBot="1">
      <c r="A60" s="1086"/>
      <c r="B60" s="325"/>
      <c r="C60" s="339" t="s">
        <v>117</v>
      </c>
      <c r="D60" s="337" t="s">
        <v>118</v>
      </c>
      <c r="E60" s="338">
        <v>999.38</v>
      </c>
      <c r="F60" s="320">
        <f t="shared" si="0"/>
        <v>599.62799999999993</v>
      </c>
      <c r="G60" s="322">
        <f t="shared" si="1"/>
        <v>0</v>
      </c>
      <c r="H60" s="321">
        <f t="shared" si="2"/>
        <v>50.668565999999998</v>
      </c>
      <c r="I60" s="321">
        <f t="shared" si="3"/>
        <v>0</v>
      </c>
      <c r="J60" s="321">
        <f t="shared" si="4"/>
        <v>19.188095999999998</v>
      </c>
      <c r="K60" s="321">
        <f t="shared" si="5"/>
        <v>0</v>
      </c>
      <c r="L60" s="321">
        <f t="shared" si="6"/>
        <v>15.770216399999999</v>
      </c>
      <c r="M60" s="321">
        <f t="shared" si="7"/>
        <v>0</v>
      </c>
      <c r="N60" s="321">
        <f t="shared" si="8"/>
        <v>13.131853199999998</v>
      </c>
      <c r="O60" s="321">
        <f t="shared" si="9"/>
        <v>0</v>
      </c>
      <c r="P60" s="526"/>
    </row>
    <row r="61" spans="1:16" s="315" customFormat="1" ht="13.5" thickBot="1">
      <c r="A61" s="1086"/>
      <c r="B61" s="316"/>
      <c r="C61" s="339" t="s">
        <v>119</v>
      </c>
      <c r="D61" s="337" t="s">
        <v>120</v>
      </c>
      <c r="E61" s="338">
        <v>222.6</v>
      </c>
      <c r="F61" s="320">
        <f t="shared" si="0"/>
        <v>133.56</v>
      </c>
      <c r="G61" s="322">
        <f t="shared" si="1"/>
        <v>0</v>
      </c>
      <c r="H61" s="321">
        <f t="shared" si="2"/>
        <v>11.285820000000001</v>
      </c>
      <c r="I61" s="321">
        <f t="shared" si="3"/>
        <v>0</v>
      </c>
      <c r="J61" s="321">
        <f t="shared" si="4"/>
        <v>4.2739200000000004</v>
      </c>
      <c r="K61" s="321">
        <f t="shared" si="5"/>
        <v>0</v>
      </c>
      <c r="L61" s="321">
        <f t="shared" si="6"/>
        <v>3.5126280000000003</v>
      </c>
      <c r="M61" s="321">
        <f t="shared" si="7"/>
        <v>0</v>
      </c>
      <c r="N61" s="321">
        <f t="shared" si="8"/>
        <v>2.9249640000000001</v>
      </c>
      <c r="O61" s="321">
        <f t="shared" si="9"/>
        <v>0</v>
      </c>
      <c r="P61" s="526"/>
    </row>
    <row r="62" spans="1:16" s="315" customFormat="1" ht="13.5" thickBot="1">
      <c r="A62" s="1086"/>
      <c r="B62" s="319"/>
      <c r="C62" s="339">
        <v>45111136</v>
      </c>
      <c r="D62" s="337" t="s">
        <v>3928</v>
      </c>
      <c r="E62" s="338">
        <v>1100</v>
      </c>
      <c r="F62" s="320">
        <f t="shared" si="0"/>
        <v>660</v>
      </c>
      <c r="G62" s="322">
        <f t="shared" si="1"/>
        <v>0</v>
      </c>
      <c r="H62" s="321">
        <f t="shared" si="2"/>
        <v>55.77</v>
      </c>
      <c r="I62" s="321">
        <f t="shared" si="3"/>
        <v>0</v>
      </c>
      <c r="J62" s="321">
        <f t="shared" si="4"/>
        <v>21.12</v>
      </c>
      <c r="K62" s="321">
        <f t="shared" si="5"/>
        <v>0</v>
      </c>
      <c r="L62" s="321">
        <f t="shared" si="6"/>
        <v>17.358000000000001</v>
      </c>
      <c r="M62" s="321">
        <f t="shared" si="7"/>
        <v>0</v>
      </c>
      <c r="N62" s="321">
        <f t="shared" si="8"/>
        <v>14.453999999999999</v>
      </c>
      <c r="O62" s="321">
        <f t="shared" si="9"/>
        <v>0</v>
      </c>
      <c r="P62" s="526"/>
    </row>
    <row r="63" spans="1:16" s="302" customFormat="1" ht="26.25" thickBot="1">
      <c r="A63" s="1086"/>
      <c r="B63" s="316"/>
      <c r="C63" s="339" t="s">
        <v>244</v>
      </c>
      <c r="D63" s="337" t="s">
        <v>3855</v>
      </c>
      <c r="E63" s="338">
        <v>1259.3900000000001</v>
      </c>
      <c r="F63" s="320">
        <f t="shared" si="0"/>
        <v>755.63400000000001</v>
      </c>
      <c r="G63" s="343">
        <f t="shared" si="1"/>
        <v>0</v>
      </c>
      <c r="H63" s="321">
        <f t="shared" si="2"/>
        <v>63.851073000000007</v>
      </c>
      <c r="I63" s="321">
        <f t="shared" si="3"/>
        <v>0</v>
      </c>
      <c r="J63" s="321">
        <f t="shared" si="4"/>
        <v>24.180288000000001</v>
      </c>
      <c r="K63" s="321">
        <f t="shared" si="5"/>
        <v>0</v>
      </c>
      <c r="L63" s="321">
        <f t="shared" si="6"/>
        <v>19.873174200000001</v>
      </c>
      <c r="M63" s="321">
        <f t="shared" si="7"/>
        <v>0</v>
      </c>
      <c r="N63" s="321">
        <f t="shared" si="8"/>
        <v>16.548384599999999</v>
      </c>
      <c r="O63" s="321">
        <f t="shared" si="9"/>
        <v>0</v>
      </c>
      <c r="P63" s="526"/>
    </row>
    <row r="64" spans="1:16" s="302" customFormat="1" ht="26.25" thickBot="1">
      <c r="A64" s="1086"/>
      <c r="B64" s="318"/>
      <c r="C64" s="336" t="s">
        <v>3856</v>
      </c>
      <c r="D64" s="337" t="s">
        <v>3857</v>
      </c>
      <c r="E64" s="338">
        <v>1399.56</v>
      </c>
      <c r="F64" s="320">
        <f t="shared" si="0"/>
        <v>839.73599999999999</v>
      </c>
      <c r="G64" s="343">
        <f t="shared" si="1"/>
        <v>0</v>
      </c>
      <c r="H64" s="321">
        <f t="shared" si="2"/>
        <v>70.957692000000009</v>
      </c>
      <c r="I64" s="321">
        <f t="shared" si="3"/>
        <v>0</v>
      </c>
      <c r="J64" s="321">
        <f t="shared" si="4"/>
        <v>26.871552000000001</v>
      </c>
      <c r="K64" s="321">
        <f t="shared" si="5"/>
        <v>0</v>
      </c>
      <c r="L64" s="321">
        <f t="shared" si="6"/>
        <v>22.0850568</v>
      </c>
      <c r="M64" s="321">
        <f t="shared" si="7"/>
        <v>0</v>
      </c>
      <c r="N64" s="321">
        <f t="shared" si="8"/>
        <v>18.390218399999998</v>
      </c>
      <c r="O64" s="321">
        <f t="shared" si="9"/>
        <v>0</v>
      </c>
      <c r="P64" s="526"/>
    </row>
    <row r="65" spans="1:16" s="302" customFormat="1" ht="26.25" thickBot="1">
      <c r="A65" s="1086"/>
      <c r="B65" s="319"/>
      <c r="C65" s="336" t="s">
        <v>3858</v>
      </c>
      <c r="D65" s="337" t="s">
        <v>3920</v>
      </c>
      <c r="E65" s="338">
        <v>2172.17</v>
      </c>
      <c r="F65" s="320">
        <f t="shared" ref="F65:F72" si="10">E65*(1-40%)</f>
        <v>1303.3019999999999</v>
      </c>
      <c r="G65" s="343">
        <f t="shared" ref="G65:G72" si="11">F65*B65</f>
        <v>0</v>
      </c>
      <c r="H65" s="321">
        <f t="shared" ref="H65:H72" si="12">F65*0.0845</f>
        <v>110.129019</v>
      </c>
      <c r="I65" s="321">
        <f t="shared" ref="I65:I72" si="13">H65*B65</f>
        <v>0</v>
      </c>
      <c r="J65" s="321">
        <f t="shared" ref="J65:J72" si="14">F65*0.032</f>
        <v>41.705663999999999</v>
      </c>
      <c r="K65" s="321">
        <f t="shared" ref="K65:K72" si="15">J65*B65</f>
        <v>0</v>
      </c>
      <c r="L65" s="321">
        <f t="shared" ref="L65:L72" si="16">F65*0.0263</f>
        <v>34.276842599999995</v>
      </c>
      <c r="M65" s="321">
        <f t="shared" ref="M65:M72" si="17">L65*B65</f>
        <v>0</v>
      </c>
      <c r="N65" s="321">
        <f t="shared" ref="N65:N72" si="18">F65*0.0219</f>
        <v>28.542313799999999</v>
      </c>
      <c r="O65" s="321">
        <f t="shared" ref="O65:O72" si="19">N65*B65</f>
        <v>0</v>
      </c>
      <c r="P65" s="526"/>
    </row>
    <row r="66" spans="1:16" s="302" customFormat="1" ht="26.25" thickBot="1">
      <c r="A66" s="1086"/>
      <c r="B66" s="316"/>
      <c r="C66" s="336" t="s">
        <v>3914</v>
      </c>
      <c r="D66" s="337" t="s">
        <v>3921</v>
      </c>
      <c r="E66" s="338">
        <v>4008.22</v>
      </c>
      <c r="F66" s="38">
        <f t="shared" si="10"/>
        <v>2404.9319999999998</v>
      </c>
      <c r="G66" s="41">
        <f t="shared" si="11"/>
        <v>0</v>
      </c>
      <c r="H66" s="39">
        <f t="shared" si="12"/>
        <v>203.21675400000001</v>
      </c>
      <c r="I66" s="39">
        <f t="shared" si="13"/>
        <v>0</v>
      </c>
      <c r="J66" s="39">
        <f t="shared" si="14"/>
        <v>76.957823999999988</v>
      </c>
      <c r="K66" s="39">
        <f t="shared" si="15"/>
        <v>0</v>
      </c>
      <c r="L66" s="39">
        <f t="shared" si="16"/>
        <v>63.249711599999998</v>
      </c>
      <c r="M66" s="39">
        <f t="shared" si="17"/>
        <v>0</v>
      </c>
      <c r="N66" s="39">
        <f t="shared" si="18"/>
        <v>52.66801079999999</v>
      </c>
      <c r="O66" s="39">
        <f t="shared" si="19"/>
        <v>0</v>
      </c>
      <c r="P66" s="526"/>
    </row>
    <row r="67" spans="1:16" s="302" customFormat="1" ht="26.25" thickBot="1">
      <c r="A67" s="1086"/>
      <c r="B67" s="319"/>
      <c r="C67" s="336" t="s">
        <v>3915</v>
      </c>
      <c r="D67" s="337" t="s">
        <v>3917</v>
      </c>
      <c r="E67" s="338">
        <v>3919.41</v>
      </c>
      <c r="F67" s="320">
        <f t="shared" si="10"/>
        <v>2351.6459999999997</v>
      </c>
      <c r="G67" s="322">
        <f t="shared" si="11"/>
        <v>0</v>
      </c>
      <c r="H67" s="321">
        <f t="shared" si="12"/>
        <v>198.71408699999998</v>
      </c>
      <c r="I67" s="321">
        <f t="shared" si="13"/>
        <v>0</v>
      </c>
      <c r="J67" s="321">
        <f t="shared" si="14"/>
        <v>75.25267199999999</v>
      </c>
      <c r="K67" s="321">
        <f t="shared" si="15"/>
        <v>0</v>
      </c>
      <c r="L67" s="321">
        <f t="shared" si="16"/>
        <v>61.848289799999996</v>
      </c>
      <c r="M67" s="321">
        <f t="shared" si="17"/>
        <v>0</v>
      </c>
      <c r="N67" s="321">
        <f t="shared" si="18"/>
        <v>51.50104739999999</v>
      </c>
      <c r="O67" s="321">
        <f t="shared" si="19"/>
        <v>0</v>
      </c>
      <c r="P67" s="526"/>
    </row>
    <row r="68" spans="1:16" s="302" customFormat="1" ht="26.25" thickBot="1">
      <c r="A68" s="1086"/>
      <c r="B68" s="318"/>
      <c r="C68" s="923" t="s">
        <v>3916</v>
      </c>
      <c r="D68" s="668" t="s">
        <v>3918</v>
      </c>
      <c r="E68" s="320">
        <v>5661.37</v>
      </c>
      <c r="F68" s="320">
        <f t="shared" si="10"/>
        <v>3396.8219999999997</v>
      </c>
      <c r="G68" s="322">
        <f t="shared" si="11"/>
        <v>0</v>
      </c>
      <c r="H68" s="321">
        <f t="shared" si="12"/>
        <v>287.03145899999998</v>
      </c>
      <c r="I68" s="321">
        <f t="shared" si="13"/>
        <v>0</v>
      </c>
      <c r="J68" s="321">
        <f t="shared" si="14"/>
        <v>108.69830399999999</v>
      </c>
      <c r="K68" s="321">
        <f t="shared" si="15"/>
        <v>0</v>
      </c>
      <c r="L68" s="321">
        <f t="shared" si="16"/>
        <v>89.336418599999988</v>
      </c>
      <c r="M68" s="321">
        <f t="shared" si="17"/>
        <v>0</v>
      </c>
      <c r="N68" s="321">
        <f t="shared" si="18"/>
        <v>74.390401799999992</v>
      </c>
      <c r="O68" s="321">
        <f t="shared" si="19"/>
        <v>0</v>
      </c>
      <c r="P68" s="526"/>
    </row>
    <row r="69" spans="1:16" s="315" customFormat="1" ht="13.5" thickBot="1">
      <c r="A69" s="1086"/>
      <c r="B69" s="325"/>
      <c r="C69" s="922" t="s">
        <v>3861</v>
      </c>
      <c r="D69" s="605" t="s">
        <v>4045</v>
      </c>
      <c r="E69" s="491">
        <v>1828.63</v>
      </c>
      <c r="F69" s="320">
        <f t="shared" si="10"/>
        <v>1097.1780000000001</v>
      </c>
      <c r="G69" s="322">
        <f t="shared" si="11"/>
        <v>0</v>
      </c>
      <c r="H69" s="321">
        <f t="shared" si="12"/>
        <v>92.711541000000011</v>
      </c>
      <c r="I69" s="321">
        <f t="shared" si="13"/>
        <v>0</v>
      </c>
      <c r="J69" s="321">
        <f t="shared" si="14"/>
        <v>35.109696000000007</v>
      </c>
      <c r="K69" s="321">
        <f t="shared" si="15"/>
        <v>0</v>
      </c>
      <c r="L69" s="321">
        <f t="shared" si="16"/>
        <v>28.855781400000005</v>
      </c>
      <c r="M69" s="321">
        <f t="shared" si="17"/>
        <v>0</v>
      </c>
      <c r="N69" s="321">
        <f t="shared" si="18"/>
        <v>24.028198200000002</v>
      </c>
      <c r="O69" s="321">
        <f t="shared" si="19"/>
        <v>0</v>
      </c>
      <c r="P69" s="526"/>
    </row>
    <row r="70" spans="1:16" s="315" customFormat="1" ht="13.5" thickBot="1">
      <c r="A70" s="1086"/>
      <c r="B70" s="319"/>
      <c r="C70" s="655" t="s">
        <v>123</v>
      </c>
      <c r="D70" s="298" t="s">
        <v>3923</v>
      </c>
      <c r="E70" s="491">
        <v>329.56</v>
      </c>
      <c r="F70" s="320">
        <f t="shared" si="10"/>
        <v>197.73599999999999</v>
      </c>
      <c r="G70" s="322">
        <f t="shared" si="11"/>
        <v>0</v>
      </c>
      <c r="H70" s="321">
        <f t="shared" si="12"/>
        <v>16.708691999999999</v>
      </c>
      <c r="I70" s="321">
        <f t="shared" si="13"/>
        <v>0</v>
      </c>
      <c r="J70" s="321">
        <f t="shared" si="14"/>
        <v>6.3275519999999998</v>
      </c>
      <c r="K70" s="321">
        <f t="shared" si="15"/>
        <v>0</v>
      </c>
      <c r="L70" s="321">
        <f t="shared" si="16"/>
        <v>5.2004567999999995</v>
      </c>
      <c r="M70" s="321">
        <f t="shared" si="17"/>
        <v>0</v>
      </c>
      <c r="N70" s="321">
        <f t="shared" si="18"/>
        <v>4.3304183999999992</v>
      </c>
      <c r="O70" s="321">
        <f t="shared" si="19"/>
        <v>0</v>
      </c>
      <c r="P70" s="526"/>
    </row>
    <row r="71" spans="1:16" s="315" customFormat="1" ht="13.5" thickBot="1">
      <c r="A71" s="1086"/>
      <c r="B71" s="319"/>
      <c r="C71" s="588" t="s">
        <v>3862</v>
      </c>
      <c r="D71" s="298" t="s">
        <v>3929</v>
      </c>
      <c r="E71" s="491">
        <v>4449.0600000000004</v>
      </c>
      <c r="F71" s="320">
        <f t="shared" si="10"/>
        <v>2669.4360000000001</v>
      </c>
      <c r="G71" s="322">
        <f t="shared" si="11"/>
        <v>0</v>
      </c>
      <c r="H71" s="321">
        <f t="shared" si="12"/>
        <v>225.56734200000002</v>
      </c>
      <c r="I71" s="321">
        <f t="shared" si="13"/>
        <v>0</v>
      </c>
      <c r="J71" s="321">
        <f t="shared" si="14"/>
        <v>85.421952000000005</v>
      </c>
      <c r="K71" s="321">
        <f t="shared" si="15"/>
        <v>0</v>
      </c>
      <c r="L71" s="321">
        <f t="shared" si="16"/>
        <v>70.206166800000005</v>
      </c>
      <c r="M71" s="321">
        <f t="shared" si="17"/>
        <v>0</v>
      </c>
      <c r="N71" s="321">
        <f t="shared" si="18"/>
        <v>58.460648400000004</v>
      </c>
      <c r="O71" s="321">
        <f t="shared" si="19"/>
        <v>0</v>
      </c>
      <c r="P71" s="526"/>
    </row>
    <row r="72" spans="1:16" s="315" customFormat="1" ht="13.5" thickBot="1">
      <c r="A72" s="1086"/>
      <c r="B72" s="319"/>
      <c r="C72" s="336" t="s">
        <v>430</v>
      </c>
      <c r="D72" s="337" t="s">
        <v>431</v>
      </c>
      <c r="E72" s="338">
        <v>588.5</v>
      </c>
      <c r="F72" s="320">
        <f t="shared" si="10"/>
        <v>353.09999999999997</v>
      </c>
      <c r="G72" s="322">
        <f t="shared" si="11"/>
        <v>0</v>
      </c>
      <c r="H72" s="321">
        <f t="shared" si="12"/>
        <v>29.836949999999998</v>
      </c>
      <c r="I72" s="321">
        <f t="shared" si="13"/>
        <v>0</v>
      </c>
      <c r="J72" s="321">
        <f t="shared" si="14"/>
        <v>11.299199999999999</v>
      </c>
      <c r="K72" s="321">
        <f t="shared" si="15"/>
        <v>0</v>
      </c>
      <c r="L72" s="321">
        <f t="shared" si="16"/>
        <v>9.2865299999999991</v>
      </c>
      <c r="M72" s="321">
        <f t="shared" si="17"/>
        <v>0</v>
      </c>
      <c r="N72" s="321">
        <f t="shared" si="18"/>
        <v>7.7328899999999994</v>
      </c>
      <c r="O72" s="321">
        <f t="shared" si="19"/>
        <v>0</v>
      </c>
      <c r="P72" s="526"/>
    </row>
    <row r="73" spans="1:16" s="302" customFormat="1" ht="13.5" thickBot="1">
      <c r="A73" s="1086"/>
      <c r="B73" s="319"/>
      <c r="C73" s="336" t="s">
        <v>366</v>
      </c>
      <c r="D73" s="337" t="s">
        <v>367</v>
      </c>
      <c r="E73" s="338">
        <v>588.5</v>
      </c>
      <c r="F73" s="320">
        <f t="shared" si="0"/>
        <v>353.09999999999997</v>
      </c>
      <c r="G73" s="343">
        <f t="shared" si="1"/>
        <v>0</v>
      </c>
      <c r="H73" s="321">
        <f t="shared" si="2"/>
        <v>29.836949999999998</v>
      </c>
      <c r="I73" s="321">
        <f t="shared" si="3"/>
        <v>0</v>
      </c>
      <c r="J73" s="321">
        <f t="shared" si="4"/>
        <v>11.299199999999999</v>
      </c>
      <c r="K73" s="321">
        <f t="shared" si="5"/>
        <v>0</v>
      </c>
      <c r="L73" s="321">
        <f t="shared" si="6"/>
        <v>9.2865299999999991</v>
      </c>
      <c r="M73" s="321">
        <f t="shared" si="7"/>
        <v>0</v>
      </c>
      <c r="N73" s="321">
        <f t="shared" si="8"/>
        <v>7.7328899999999994</v>
      </c>
      <c r="O73" s="321">
        <f t="shared" si="9"/>
        <v>0</v>
      </c>
      <c r="P73" s="526"/>
    </row>
    <row r="74" spans="1:16" s="302" customFormat="1" ht="13.5" thickBot="1">
      <c r="A74" s="1086"/>
      <c r="B74" s="316"/>
      <c r="C74" s="336" t="s">
        <v>522</v>
      </c>
      <c r="D74" s="337" t="s">
        <v>3946</v>
      </c>
      <c r="E74" s="338">
        <v>101.65</v>
      </c>
      <c r="F74" s="38">
        <f t="shared" si="0"/>
        <v>60.99</v>
      </c>
      <c r="G74" s="41">
        <f t="shared" si="1"/>
        <v>0</v>
      </c>
      <c r="H74" s="39">
        <f t="shared" si="2"/>
        <v>5.1536550000000005</v>
      </c>
      <c r="I74" s="39">
        <f t="shared" si="3"/>
        <v>0</v>
      </c>
      <c r="J74" s="39">
        <f t="shared" si="4"/>
        <v>1.9516800000000001</v>
      </c>
      <c r="K74" s="39">
        <f t="shared" si="5"/>
        <v>0</v>
      </c>
      <c r="L74" s="39">
        <f t="shared" si="6"/>
        <v>1.6040370000000002</v>
      </c>
      <c r="M74" s="39">
        <f t="shared" si="7"/>
        <v>0</v>
      </c>
      <c r="N74" s="39">
        <f t="shared" si="8"/>
        <v>1.3356809999999999</v>
      </c>
      <c r="O74" s="39">
        <f t="shared" si="9"/>
        <v>0</v>
      </c>
      <c r="P74" s="526"/>
    </row>
    <row r="75" spans="1:16" s="302" customFormat="1" ht="13.5" thickBot="1">
      <c r="A75" s="1086"/>
      <c r="B75" s="319"/>
      <c r="C75" s="336" t="s">
        <v>3865</v>
      </c>
      <c r="D75" s="337" t="s">
        <v>3866</v>
      </c>
      <c r="E75" s="338">
        <v>145.52000000000001</v>
      </c>
      <c r="F75" s="320">
        <f t="shared" si="0"/>
        <v>87.311999999999998</v>
      </c>
      <c r="G75" s="322">
        <f t="shared" si="1"/>
        <v>0</v>
      </c>
      <c r="H75" s="321">
        <f t="shared" si="2"/>
        <v>7.3778640000000006</v>
      </c>
      <c r="I75" s="321">
        <f t="shared" si="3"/>
        <v>0</v>
      </c>
      <c r="J75" s="321">
        <f t="shared" si="4"/>
        <v>2.793984</v>
      </c>
      <c r="K75" s="321">
        <f t="shared" si="5"/>
        <v>0</v>
      </c>
      <c r="L75" s="321">
        <f t="shared" si="6"/>
        <v>2.2963056000000002</v>
      </c>
      <c r="M75" s="321">
        <f t="shared" si="7"/>
        <v>0</v>
      </c>
      <c r="N75" s="321">
        <f t="shared" si="8"/>
        <v>1.9121328</v>
      </c>
      <c r="O75" s="321">
        <f t="shared" si="9"/>
        <v>0</v>
      </c>
      <c r="P75" s="526"/>
    </row>
    <row r="76" spans="1:16" s="302" customFormat="1" ht="13.5" thickBot="1">
      <c r="A76" s="1086"/>
      <c r="B76" s="318"/>
      <c r="C76" s="923" t="s">
        <v>3930</v>
      </c>
      <c r="D76" s="668" t="s">
        <v>3931</v>
      </c>
      <c r="E76" s="320">
        <v>1470</v>
      </c>
      <c r="F76" s="320">
        <f t="shared" si="0"/>
        <v>882</v>
      </c>
      <c r="G76" s="322">
        <f t="shared" si="1"/>
        <v>0</v>
      </c>
      <c r="H76" s="321">
        <f t="shared" si="2"/>
        <v>74.529000000000011</v>
      </c>
      <c r="I76" s="321">
        <f t="shared" si="3"/>
        <v>0</v>
      </c>
      <c r="J76" s="321">
        <f t="shared" si="4"/>
        <v>28.224</v>
      </c>
      <c r="K76" s="321">
        <f t="shared" si="5"/>
        <v>0</v>
      </c>
      <c r="L76" s="321">
        <f t="shared" si="6"/>
        <v>23.1966</v>
      </c>
      <c r="M76" s="321">
        <f t="shared" si="7"/>
        <v>0</v>
      </c>
      <c r="N76" s="321">
        <f t="shared" si="8"/>
        <v>19.315799999999999</v>
      </c>
      <c r="O76" s="321">
        <f t="shared" si="9"/>
        <v>0</v>
      </c>
      <c r="P76" s="526"/>
    </row>
    <row r="77" spans="1:16" s="315" customFormat="1" ht="13.5" thickBot="1">
      <c r="A77" s="1086"/>
      <c r="B77" s="325"/>
      <c r="C77" s="922" t="s">
        <v>127</v>
      </c>
      <c r="D77" s="605" t="s">
        <v>128</v>
      </c>
      <c r="E77" s="491">
        <v>148.72999999999999</v>
      </c>
      <c r="F77" s="320">
        <f t="shared" si="0"/>
        <v>89.237999999999985</v>
      </c>
      <c r="G77" s="322">
        <f t="shared" si="1"/>
        <v>0</v>
      </c>
      <c r="H77" s="321">
        <f t="shared" si="2"/>
        <v>7.5406109999999993</v>
      </c>
      <c r="I77" s="321">
        <f t="shared" si="3"/>
        <v>0</v>
      </c>
      <c r="J77" s="321">
        <f t="shared" si="4"/>
        <v>2.8556159999999995</v>
      </c>
      <c r="K77" s="321">
        <f t="shared" si="5"/>
        <v>0</v>
      </c>
      <c r="L77" s="321">
        <f t="shared" si="6"/>
        <v>2.3469593999999998</v>
      </c>
      <c r="M77" s="321">
        <f t="shared" si="7"/>
        <v>0</v>
      </c>
      <c r="N77" s="321">
        <f t="shared" si="8"/>
        <v>1.9543121999999997</v>
      </c>
      <c r="O77" s="321">
        <f t="shared" si="9"/>
        <v>0</v>
      </c>
      <c r="P77" s="526"/>
    </row>
    <row r="78" spans="1:16" s="315" customFormat="1" ht="13.5" thickBot="1">
      <c r="A78" s="1086"/>
      <c r="B78" s="319"/>
      <c r="C78" s="655" t="s">
        <v>129</v>
      </c>
      <c r="D78" s="298" t="s">
        <v>130</v>
      </c>
      <c r="E78" s="491">
        <v>785</v>
      </c>
      <c r="F78" s="320">
        <f t="shared" si="0"/>
        <v>471</v>
      </c>
      <c r="G78" s="322">
        <f t="shared" si="1"/>
        <v>0</v>
      </c>
      <c r="H78" s="321">
        <f t="shared" si="2"/>
        <v>39.799500000000002</v>
      </c>
      <c r="I78" s="321">
        <f t="shared" si="3"/>
        <v>0</v>
      </c>
      <c r="J78" s="321">
        <f t="shared" si="4"/>
        <v>15.072000000000001</v>
      </c>
      <c r="K78" s="321">
        <f t="shared" si="5"/>
        <v>0</v>
      </c>
      <c r="L78" s="321">
        <f t="shared" si="6"/>
        <v>12.3873</v>
      </c>
      <c r="M78" s="321">
        <f t="shared" si="7"/>
        <v>0</v>
      </c>
      <c r="N78" s="321">
        <f t="shared" si="8"/>
        <v>10.3149</v>
      </c>
      <c r="O78" s="321">
        <f t="shared" si="9"/>
        <v>0</v>
      </c>
      <c r="P78" s="526"/>
    </row>
    <row r="79" spans="1:16" s="315" customFormat="1" ht="13.5" thickBot="1">
      <c r="A79" s="1086"/>
      <c r="B79" s="319"/>
      <c r="C79" s="588" t="s">
        <v>131</v>
      </c>
      <c r="D79" s="298" t="s">
        <v>217</v>
      </c>
      <c r="E79" s="491">
        <v>821</v>
      </c>
      <c r="F79" s="320">
        <f t="shared" si="0"/>
        <v>492.59999999999997</v>
      </c>
      <c r="G79" s="322">
        <f t="shared" si="1"/>
        <v>0</v>
      </c>
      <c r="H79" s="321">
        <f t="shared" si="2"/>
        <v>41.624699999999997</v>
      </c>
      <c r="I79" s="321">
        <f t="shared" si="3"/>
        <v>0</v>
      </c>
      <c r="J79" s="321">
        <f t="shared" si="4"/>
        <v>15.763199999999999</v>
      </c>
      <c r="K79" s="321">
        <f t="shared" si="5"/>
        <v>0</v>
      </c>
      <c r="L79" s="321">
        <f t="shared" si="6"/>
        <v>12.95538</v>
      </c>
      <c r="M79" s="321">
        <f t="shared" si="7"/>
        <v>0</v>
      </c>
      <c r="N79" s="321">
        <f t="shared" si="8"/>
        <v>10.787939999999999</v>
      </c>
      <c r="O79" s="321">
        <f t="shared" si="9"/>
        <v>0</v>
      </c>
      <c r="P79" s="526"/>
    </row>
    <row r="80" spans="1:16" s="315" customFormat="1" ht="13.5" thickBot="1">
      <c r="A80" s="1086"/>
      <c r="B80" s="319"/>
      <c r="C80" s="336" t="s">
        <v>133</v>
      </c>
      <c r="D80" s="337" t="s">
        <v>134</v>
      </c>
      <c r="E80" s="338">
        <v>690</v>
      </c>
      <c r="F80" s="320">
        <f t="shared" si="0"/>
        <v>414</v>
      </c>
      <c r="G80" s="322">
        <f t="shared" si="1"/>
        <v>0</v>
      </c>
      <c r="H80" s="321">
        <f t="shared" si="2"/>
        <v>34.983000000000004</v>
      </c>
      <c r="I80" s="321">
        <f t="shared" si="3"/>
        <v>0</v>
      </c>
      <c r="J80" s="321">
        <f t="shared" si="4"/>
        <v>13.248000000000001</v>
      </c>
      <c r="K80" s="321">
        <f t="shared" si="5"/>
        <v>0</v>
      </c>
      <c r="L80" s="321">
        <f t="shared" si="6"/>
        <v>10.888199999999999</v>
      </c>
      <c r="M80" s="321">
        <f t="shared" si="7"/>
        <v>0</v>
      </c>
      <c r="N80" s="321">
        <f t="shared" si="8"/>
        <v>9.0665999999999993</v>
      </c>
      <c r="O80" s="321">
        <f t="shared" si="9"/>
        <v>0</v>
      </c>
      <c r="P80" s="526"/>
    </row>
    <row r="81" spans="1:16" s="315" customFormat="1" ht="13.5" thickBot="1">
      <c r="A81" s="1086"/>
      <c r="B81" s="319"/>
      <c r="C81" s="336" t="s">
        <v>135</v>
      </c>
      <c r="D81" s="337" t="s">
        <v>136</v>
      </c>
      <c r="E81" s="338">
        <v>191</v>
      </c>
      <c r="F81" s="320">
        <f t="shared" si="0"/>
        <v>114.6</v>
      </c>
      <c r="G81" s="322">
        <f t="shared" si="1"/>
        <v>0</v>
      </c>
      <c r="H81" s="321">
        <f t="shared" si="2"/>
        <v>9.6837</v>
      </c>
      <c r="I81" s="321">
        <f t="shared" si="3"/>
        <v>0</v>
      </c>
      <c r="J81" s="321">
        <f t="shared" si="4"/>
        <v>3.6671999999999998</v>
      </c>
      <c r="K81" s="321">
        <f t="shared" si="5"/>
        <v>0</v>
      </c>
      <c r="L81" s="321">
        <f t="shared" si="6"/>
        <v>3.0139800000000001</v>
      </c>
      <c r="M81" s="321">
        <f t="shared" si="7"/>
        <v>0</v>
      </c>
      <c r="N81" s="321">
        <f t="shared" si="8"/>
        <v>2.5097399999999999</v>
      </c>
      <c r="O81" s="321">
        <f t="shared" si="9"/>
        <v>0</v>
      </c>
      <c r="P81" s="526"/>
    </row>
    <row r="82" spans="1:16" s="315" customFormat="1" ht="26.25" thickBot="1">
      <c r="A82" s="1086"/>
      <c r="B82" s="318"/>
      <c r="C82" s="336" t="s">
        <v>137</v>
      </c>
      <c r="D82" s="337" t="s">
        <v>3867</v>
      </c>
      <c r="E82" s="338">
        <v>667.8</v>
      </c>
      <c r="F82" s="320">
        <f t="shared" si="0"/>
        <v>400.67999999999995</v>
      </c>
      <c r="G82" s="322">
        <f t="shared" si="1"/>
        <v>0</v>
      </c>
      <c r="H82" s="321">
        <f t="shared" si="2"/>
        <v>33.857459999999996</v>
      </c>
      <c r="I82" s="321">
        <f t="shared" si="3"/>
        <v>0</v>
      </c>
      <c r="J82" s="321">
        <f t="shared" si="4"/>
        <v>12.821759999999999</v>
      </c>
      <c r="K82" s="321">
        <f t="shared" si="5"/>
        <v>0</v>
      </c>
      <c r="L82" s="321">
        <f t="shared" si="6"/>
        <v>10.537883999999998</v>
      </c>
      <c r="M82" s="321">
        <f t="shared" si="7"/>
        <v>0</v>
      </c>
      <c r="N82" s="321">
        <f t="shared" si="8"/>
        <v>8.7748919999999995</v>
      </c>
      <c r="O82" s="321">
        <f t="shared" si="9"/>
        <v>0</v>
      </c>
      <c r="P82" s="526"/>
    </row>
    <row r="83" spans="1:16" s="315" customFormat="1" ht="13.5" thickBot="1">
      <c r="A83" s="1086"/>
      <c r="B83" s="319"/>
      <c r="C83" s="336" t="s">
        <v>139</v>
      </c>
      <c r="D83" s="337" t="s">
        <v>140</v>
      </c>
      <c r="E83" s="338">
        <v>250</v>
      </c>
      <c r="F83" s="38">
        <f t="shared" ref="F83:F106" si="20">E83*(1-40%)</f>
        <v>150</v>
      </c>
      <c r="G83" s="41">
        <f t="shared" ref="G83:G106" si="21">F83*B83</f>
        <v>0</v>
      </c>
      <c r="H83" s="39">
        <f t="shared" ref="H83:H106" si="22">F83*0.0845</f>
        <v>12.675000000000001</v>
      </c>
      <c r="I83" s="39">
        <f t="shared" ref="I83:I106" si="23">H83*B83</f>
        <v>0</v>
      </c>
      <c r="J83" s="39">
        <f t="shared" ref="J83:J106" si="24">F83*0.032</f>
        <v>4.8</v>
      </c>
      <c r="K83" s="39">
        <f t="shared" ref="K83:K106" si="25">J83*B83</f>
        <v>0</v>
      </c>
      <c r="L83" s="39">
        <f t="shared" ref="L83:L106" si="26">F83*0.0263</f>
        <v>3.9450000000000003</v>
      </c>
      <c r="M83" s="39">
        <f t="shared" ref="M83:M106" si="27">L83*B83</f>
        <v>0</v>
      </c>
      <c r="N83" s="39">
        <f t="shared" ref="N83:N106" si="28">F83*0.0219</f>
        <v>3.2849999999999997</v>
      </c>
      <c r="O83" s="39">
        <f t="shared" ref="O83:O106" si="29">N83*B83</f>
        <v>0</v>
      </c>
      <c r="P83" s="526"/>
    </row>
    <row r="84" spans="1:16" s="315" customFormat="1" ht="13.5" thickBot="1">
      <c r="A84" s="1086"/>
      <c r="B84" s="319"/>
      <c r="C84" s="339" t="s">
        <v>141</v>
      </c>
      <c r="D84" s="337" t="s">
        <v>174</v>
      </c>
      <c r="E84" s="338">
        <v>250</v>
      </c>
      <c r="F84" s="320">
        <f t="shared" si="20"/>
        <v>150</v>
      </c>
      <c r="G84" s="322">
        <f t="shared" si="21"/>
        <v>0</v>
      </c>
      <c r="H84" s="321">
        <f t="shared" si="22"/>
        <v>12.675000000000001</v>
      </c>
      <c r="I84" s="321">
        <f t="shared" si="23"/>
        <v>0</v>
      </c>
      <c r="J84" s="321">
        <f t="shared" si="24"/>
        <v>4.8</v>
      </c>
      <c r="K84" s="321">
        <f t="shared" si="25"/>
        <v>0</v>
      </c>
      <c r="L84" s="321">
        <f t="shared" si="26"/>
        <v>3.9450000000000003</v>
      </c>
      <c r="M84" s="321">
        <f t="shared" si="27"/>
        <v>0</v>
      </c>
      <c r="N84" s="321">
        <f t="shared" si="28"/>
        <v>3.2849999999999997</v>
      </c>
      <c r="O84" s="321">
        <f t="shared" si="29"/>
        <v>0</v>
      </c>
      <c r="P84" s="526"/>
    </row>
    <row r="85" spans="1:16" s="315" customFormat="1" ht="39" thickBot="1">
      <c r="A85" s="1086"/>
      <c r="B85" s="319"/>
      <c r="C85" s="336" t="s">
        <v>250</v>
      </c>
      <c r="D85" s="337" t="s">
        <v>3924</v>
      </c>
      <c r="E85" s="338">
        <v>3930.11</v>
      </c>
      <c r="F85" s="320">
        <f t="shared" si="20"/>
        <v>2358.0659999999998</v>
      </c>
      <c r="G85" s="322">
        <f t="shared" si="21"/>
        <v>0</v>
      </c>
      <c r="H85" s="321">
        <f t="shared" si="22"/>
        <v>199.25657699999999</v>
      </c>
      <c r="I85" s="321">
        <f t="shared" si="23"/>
        <v>0</v>
      </c>
      <c r="J85" s="321">
        <f t="shared" si="24"/>
        <v>75.458112</v>
      </c>
      <c r="K85" s="321">
        <f t="shared" si="25"/>
        <v>0</v>
      </c>
      <c r="L85" s="321">
        <f t="shared" si="26"/>
        <v>62.017135799999998</v>
      </c>
      <c r="M85" s="321">
        <f t="shared" si="27"/>
        <v>0</v>
      </c>
      <c r="N85" s="321">
        <f t="shared" si="28"/>
        <v>51.641645399999994</v>
      </c>
      <c r="O85" s="321">
        <f t="shared" si="29"/>
        <v>0</v>
      </c>
      <c r="P85" s="526"/>
    </row>
    <row r="86" spans="1:16" s="315" customFormat="1" ht="26.25" thickBot="1">
      <c r="A86" s="1086"/>
      <c r="B86" s="319"/>
      <c r="C86" s="336" t="s">
        <v>251</v>
      </c>
      <c r="D86" s="337" t="s">
        <v>3868</v>
      </c>
      <c r="E86" s="338">
        <v>1959</v>
      </c>
      <c r="F86" s="320">
        <f t="shared" si="20"/>
        <v>1175.3999999999999</v>
      </c>
      <c r="G86" s="322">
        <f t="shared" si="21"/>
        <v>0</v>
      </c>
      <c r="H86" s="321">
        <f t="shared" si="22"/>
        <v>99.321299999999994</v>
      </c>
      <c r="I86" s="321">
        <f t="shared" si="23"/>
        <v>0</v>
      </c>
      <c r="J86" s="321">
        <f t="shared" si="24"/>
        <v>37.612799999999993</v>
      </c>
      <c r="K86" s="321">
        <f t="shared" si="25"/>
        <v>0</v>
      </c>
      <c r="L86" s="321">
        <f t="shared" si="26"/>
        <v>30.913019999999996</v>
      </c>
      <c r="M86" s="321">
        <f t="shared" si="27"/>
        <v>0</v>
      </c>
      <c r="N86" s="321">
        <f t="shared" si="28"/>
        <v>25.741259999999997</v>
      </c>
      <c r="O86" s="321">
        <f t="shared" si="29"/>
        <v>0</v>
      </c>
      <c r="P86" s="526"/>
    </row>
    <row r="87" spans="1:16" s="315" customFormat="1" ht="13.5" thickBot="1">
      <c r="A87" s="1086"/>
      <c r="B87" s="319"/>
      <c r="C87" s="336" t="s">
        <v>252</v>
      </c>
      <c r="D87" s="337" t="s">
        <v>3869</v>
      </c>
      <c r="E87" s="338">
        <v>996.17</v>
      </c>
      <c r="F87" s="320">
        <f t="shared" si="20"/>
        <v>597.702</v>
      </c>
      <c r="G87" s="322">
        <f t="shared" si="21"/>
        <v>0</v>
      </c>
      <c r="H87" s="321">
        <f t="shared" si="22"/>
        <v>50.505819000000002</v>
      </c>
      <c r="I87" s="321">
        <f t="shared" si="23"/>
        <v>0</v>
      </c>
      <c r="J87" s="321">
        <f t="shared" si="24"/>
        <v>19.126463999999999</v>
      </c>
      <c r="K87" s="321">
        <f t="shared" si="25"/>
        <v>0</v>
      </c>
      <c r="L87" s="321">
        <f t="shared" si="26"/>
        <v>15.7195626</v>
      </c>
      <c r="M87" s="321">
        <f t="shared" si="27"/>
        <v>0</v>
      </c>
      <c r="N87" s="321">
        <f t="shared" si="28"/>
        <v>13.0896738</v>
      </c>
      <c r="O87" s="321">
        <f t="shared" si="29"/>
        <v>0</v>
      </c>
      <c r="P87" s="526"/>
    </row>
    <row r="88" spans="1:16" s="315" customFormat="1" ht="13.5" thickBot="1">
      <c r="A88" s="1086"/>
      <c r="B88" s="319"/>
      <c r="C88" s="336" t="s">
        <v>218</v>
      </c>
      <c r="D88" s="337" t="s">
        <v>253</v>
      </c>
      <c r="E88" s="338">
        <v>70.62</v>
      </c>
      <c r="F88" s="320">
        <f t="shared" si="20"/>
        <v>42.372</v>
      </c>
      <c r="G88" s="322">
        <f t="shared" si="21"/>
        <v>0</v>
      </c>
      <c r="H88" s="321">
        <f t="shared" si="22"/>
        <v>3.5804340000000003</v>
      </c>
      <c r="I88" s="321">
        <f t="shared" si="23"/>
        <v>0</v>
      </c>
      <c r="J88" s="321">
        <f t="shared" si="24"/>
        <v>1.355904</v>
      </c>
      <c r="K88" s="321">
        <f t="shared" si="25"/>
        <v>0</v>
      </c>
      <c r="L88" s="321">
        <f t="shared" si="26"/>
        <v>1.1143836</v>
      </c>
      <c r="M88" s="321">
        <f t="shared" si="27"/>
        <v>0</v>
      </c>
      <c r="N88" s="321">
        <f t="shared" si="28"/>
        <v>0.92794679999999996</v>
      </c>
      <c r="O88" s="321">
        <f t="shared" si="29"/>
        <v>0</v>
      </c>
      <c r="P88" s="526"/>
    </row>
    <row r="89" spans="1:16" s="315" customFormat="1" ht="13.5" thickBot="1">
      <c r="A89" s="1086"/>
      <c r="B89" s="319"/>
      <c r="C89" s="336" t="s">
        <v>3870</v>
      </c>
      <c r="D89" s="337" t="s">
        <v>433</v>
      </c>
      <c r="E89" s="338">
        <v>131.61000000000001</v>
      </c>
      <c r="F89" s="320">
        <f t="shared" si="20"/>
        <v>78.966000000000008</v>
      </c>
      <c r="G89" s="322">
        <f t="shared" si="21"/>
        <v>0</v>
      </c>
      <c r="H89" s="321">
        <f t="shared" si="22"/>
        <v>6.6726270000000012</v>
      </c>
      <c r="I89" s="321">
        <f t="shared" si="23"/>
        <v>0</v>
      </c>
      <c r="J89" s="321">
        <f t="shared" si="24"/>
        <v>2.5269120000000003</v>
      </c>
      <c r="K89" s="321">
        <f t="shared" si="25"/>
        <v>0</v>
      </c>
      <c r="L89" s="321">
        <f t="shared" si="26"/>
        <v>2.0768058000000003</v>
      </c>
      <c r="M89" s="321">
        <f t="shared" si="27"/>
        <v>0</v>
      </c>
      <c r="N89" s="321">
        <f t="shared" si="28"/>
        <v>1.7293554000000002</v>
      </c>
      <c r="O89" s="321">
        <f t="shared" si="29"/>
        <v>0</v>
      </c>
      <c r="P89" s="526"/>
    </row>
    <row r="90" spans="1:16" s="315" customFormat="1" ht="13.5" thickBot="1">
      <c r="A90" s="1086"/>
      <c r="B90" s="319"/>
      <c r="C90" s="336" t="s">
        <v>3871</v>
      </c>
      <c r="D90" s="337" t="s">
        <v>385</v>
      </c>
      <c r="E90" s="338">
        <v>1075.3499999999999</v>
      </c>
      <c r="F90" s="320">
        <f t="shared" si="20"/>
        <v>645.20999999999992</v>
      </c>
      <c r="G90" s="322">
        <f t="shared" si="21"/>
        <v>0</v>
      </c>
      <c r="H90" s="321">
        <f t="shared" si="22"/>
        <v>54.520244999999996</v>
      </c>
      <c r="I90" s="321">
        <f t="shared" si="23"/>
        <v>0</v>
      </c>
      <c r="J90" s="321">
        <f t="shared" si="24"/>
        <v>20.646719999999998</v>
      </c>
      <c r="K90" s="321">
        <f t="shared" si="25"/>
        <v>0</v>
      </c>
      <c r="L90" s="321">
        <f t="shared" si="26"/>
        <v>16.969023</v>
      </c>
      <c r="M90" s="321">
        <f t="shared" si="27"/>
        <v>0</v>
      </c>
      <c r="N90" s="321">
        <f t="shared" si="28"/>
        <v>14.130098999999998</v>
      </c>
      <c r="O90" s="321">
        <f t="shared" si="29"/>
        <v>0</v>
      </c>
      <c r="P90" s="526"/>
    </row>
    <row r="91" spans="1:16" s="315" customFormat="1" ht="13.5" thickBot="1">
      <c r="A91" s="1086"/>
      <c r="B91" s="317"/>
      <c r="C91" s="336" t="s">
        <v>3872</v>
      </c>
      <c r="D91" s="337" t="s">
        <v>386</v>
      </c>
      <c r="E91" s="338">
        <v>1402.77</v>
      </c>
      <c r="F91" s="320">
        <f t="shared" si="20"/>
        <v>841.66199999999992</v>
      </c>
      <c r="G91" s="322">
        <f t="shared" si="21"/>
        <v>0</v>
      </c>
      <c r="H91" s="321">
        <f t="shared" si="22"/>
        <v>71.120439000000005</v>
      </c>
      <c r="I91" s="321">
        <f t="shared" si="23"/>
        <v>0</v>
      </c>
      <c r="J91" s="321">
        <f t="shared" si="24"/>
        <v>26.933183999999997</v>
      </c>
      <c r="K91" s="321">
        <f t="shared" si="25"/>
        <v>0</v>
      </c>
      <c r="L91" s="321">
        <f t="shared" si="26"/>
        <v>22.135710599999999</v>
      </c>
      <c r="M91" s="321">
        <f t="shared" si="27"/>
        <v>0</v>
      </c>
      <c r="N91" s="321">
        <f t="shared" si="28"/>
        <v>18.432397799999997</v>
      </c>
      <c r="O91" s="321">
        <f t="shared" si="29"/>
        <v>0</v>
      </c>
      <c r="P91" s="526"/>
    </row>
    <row r="92" spans="1:16" s="315" customFormat="1" ht="13.5" thickBot="1">
      <c r="A92" s="1086"/>
      <c r="B92" s="327"/>
      <c r="C92" s="336" t="s">
        <v>3873</v>
      </c>
      <c r="D92" s="337" t="s">
        <v>387</v>
      </c>
      <c r="E92" s="338">
        <v>1651.01</v>
      </c>
      <c r="F92" s="320">
        <f t="shared" si="20"/>
        <v>990.60599999999999</v>
      </c>
      <c r="G92" s="322">
        <f t="shared" si="21"/>
        <v>0</v>
      </c>
      <c r="H92" s="321">
        <f t="shared" si="22"/>
        <v>83.706207000000006</v>
      </c>
      <c r="I92" s="321">
        <f t="shared" si="23"/>
        <v>0</v>
      </c>
      <c r="J92" s="321">
        <f t="shared" si="24"/>
        <v>31.699392</v>
      </c>
      <c r="K92" s="321">
        <f t="shared" si="25"/>
        <v>0</v>
      </c>
      <c r="L92" s="321">
        <f t="shared" si="26"/>
        <v>26.052937799999999</v>
      </c>
      <c r="M92" s="321">
        <f t="shared" si="27"/>
        <v>0</v>
      </c>
      <c r="N92" s="321">
        <f t="shared" si="28"/>
        <v>21.694271399999998</v>
      </c>
      <c r="O92" s="321">
        <f t="shared" si="29"/>
        <v>0</v>
      </c>
      <c r="P92" s="526"/>
    </row>
    <row r="93" spans="1:16" s="315" customFormat="1" ht="13.5" thickBot="1">
      <c r="A93" s="1086"/>
      <c r="B93" s="318"/>
      <c r="C93" s="340" t="s">
        <v>254</v>
      </c>
      <c r="D93" s="337" t="s">
        <v>3874</v>
      </c>
      <c r="E93" s="338">
        <v>1964.52</v>
      </c>
      <c r="F93" s="320">
        <f t="shared" si="20"/>
        <v>1178.712</v>
      </c>
      <c r="G93" s="322">
        <f t="shared" si="21"/>
        <v>0</v>
      </c>
      <c r="H93" s="321">
        <f t="shared" si="22"/>
        <v>99.601164000000011</v>
      </c>
      <c r="I93" s="321">
        <f t="shared" si="23"/>
        <v>0</v>
      </c>
      <c r="J93" s="321">
        <f t="shared" si="24"/>
        <v>37.718783999999999</v>
      </c>
      <c r="K93" s="321">
        <f t="shared" si="25"/>
        <v>0</v>
      </c>
      <c r="L93" s="321">
        <f t="shared" si="26"/>
        <v>31.000125600000001</v>
      </c>
      <c r="M93" s="321">
        <f t="shared" si="27"/>
        <v>0</v>
      </c>
      <c r="N93" s="321">
        <f t="shared" si="28"/>
        <v>25.813792799999998</v>
      </c>
      <c r="O93" s="321">
        <f t="shared" si="29"/>
        <v>0</v>
      </c>
      <c r="P93" s="526"/>
    </row>
    <row r="94" spans="1:16" s="315" customFormat="1" ht="13.5" thickBot="1">
      <c r="A94" s="1086"/>
      <c r="B94" s="319"/>
      <c r="C94" s="336" t="s">
        <v>528</v>
      </c>
      <c r="D94" s="337" t="s">
        <v>3912</v>
      </c>
      <c r="E94" s="338">
        <v>1306.47</v>
      </c>
      <c r="F94" s="320">
        <f t="shared" si="20"/>
        <v>783.88199999999995</v>
      </c>
      <c r="G94" s="322">
        <f t="shared" si="21"/>
        <v>0</v>
      </c>
      <c r="H94" s="321">
        <f t="shared" si="22"/>
        <v>66.238028999999997</v>
      </c>
      <c r="I94" s="321">
        <f t="shared" si="23"/>
        <v>0</v>
      </c>
      <c r="J94" s="321">
        <f t="shared" si="24"/>
        <v>25.084223999999999</v>
      </c>
      <c r="K94" s="321">
        <f t="shared" si="25"/>
        <v>0</v>
      </c>
      <c r="L94" s="321">
        <f t="shared" si="26"/>
        <v>20.616096599999999</v>
      </c>
      <c r="M94" s="321">
        <f t="shared" si="27"/>
        <v>0</v>
      </c>
      <c r="N94" s="321">
        <f t="shared" si="28"/>
        <v>17.167015799999998</v>
      </c>
      <c r="O94" s="321">
        <f t="shared" si="29"/>
        <v>0</v>
      </c>
      <c r="P94" s="526"/>
    </row>
    <row r="95" spans="1:16" s="315" customFormat="1" ht="13.5" thickBot="1">
      <c r="A95" s="1086"/>
      <c r="B95" s="323"/>
      <c r="C95" s="336" t="s">
        <v>256</v>
      </c>
      <c r="D95" s="337" t="s">
        <v>3875</v>
      </c>
      <c r="E95" s="338">
        <v>690.15</v>
      </c>
      <c r="F95" s="320">
        <f t="shared" si="20"/>
        <v>414.09</v>
      </c>
      <c r="G95" s="322">
        <f t="shared" si="21"/>
        <v>0</v>
      </c>
      <c r="H95" s="321">
        <f t="shared" si="22"/>
        <v>34.990605000000002</v>
      </c>
      <c r="I95" s="321">
        <f t="shared" si="23"/>
        <v>0</v>
      </c>
      <c r="J95" s="321">
        <f t="shared" si="24"/>
        <v>13.250879999999999</v>
      </c>
      <c r="K95" s="321">
        <f t="shared" si="25"/>
        <v>0</v>
      </c>
      <c r="L95" s="321">
        <f t="shared" si="26"/>
        <v>10.890566999999999</v>
      </c>
      <c r="M95" s="321">
        <f t="shared" si="27"/>
        <v>0</v>
      </c>
      <c r="N95" s="321">
        <f t="shared" si="28"/>
        <v>9.0685709999999986</v>
      </c>
      <c r="O95" s="321">
        <f t="shared" si="29"/>
        <v>0</v>
      </c>
      <c r="P95" s="526"/>
    </row>
    <row r="96" spans="1:16" s="315" customFormat="1" ht="13.5" thickBot="1">
      <c r="A96" s="1086"/>
      <c r="B96" s="318"/>
      <c r="C96" s="336" t="s">
        <v>368</v>
      </c>
      <c r="D96" s="337" t="s">
        <v>434</v>
      </c>
      <c r="E96" s="338">
        <v>1000.45</v>
      </c>
      <c r="F96" s="320">
        <f t="shared" si="20"/>
        <v>600.27</v>
      </c>
      <c r="G96" s="322">
        <f t="shared" si="21"/>
        <v>0</v>
      </c>
      <c r="H96" s="321">
        <f t="shared" si="22"/>
        <v>50.722815000000004</v>
      </c>
      <c r="I96" s="321">
        <f t="shared" si="23"/>
        <v>0</v>
      </c>
      <c r="J96" s="321">
        <f t="shared" si="24"/>
        <v>19.208639999999999</v>
      </c>
      <c r="K96" s="321">
        <f t="shared" si="25"/>
        <v>0</v>
      </c>
      <c r="L96" s="321">
        <f t="shared" si="26"/>
        <v>15.787101</v>
      </c>
      <c r="M96" s="321">
        <f t="shared" si="27"/>
        <v>0</v>
      </c>
      <c r="N96" s="321">
        <f t="shared" si="28"/>
        <v>13.145912999999998</v>
      </c>
      <c r="O96" s="321">
        <f t="shared" si="29"/>
        <v>0</v>
      </c>
      <c r="P96" s="526"/>
    </row>
    <row r="97" spans="1:16" s="315" customFormat="1" ht="13.5" thickBot="1">
      <c r="A97" s="1086"/>
      <c r="B97" s="319"/>
      <c r="C97" s="336" t="s">
        <v>3876</v>
      </c>
      <c r="D97" s="337" t="s">
        <v>3877</v>
      </c>
      <c r="E97" s="338">
        <v>690.15</v>
      </c>
      <c r="F97" s="320">
        <f t="shared" si="20"/>
        <v>414.09</v>
      </c>
      <c r="G97" s="322">
        <f t="shared" si="21"/>
        <v>0</v>
      </c>
      <c r="H97" s="321">
        <f t="shared" si="22"/>
        <v>34.990605000000002</v>
      </c>
      <c r="I97" s="321">
        <f t="shared" si="23"/>
        <v>0</v>
      </c>
      <c r="J97" s="321">
        <f t="shared" si="24"/>
        <v>13.250879999999999</v>
      </c>
      <c r="K97" s="321">
        <f t="shared" si="25"/>
        <v>0</v>
      </c>
      <c r="L97" s="321">
        <f t="shared" si="26"/>
        <v>10.890566999999999</v>
      </c>
      <c r="M97" s="321">
        <f t="shared" si="27"/>
        <v>0</v>
      </c>
      <c r="N97" s="321">
        <f t="shared" si="28"/>
        <v>9.0685709999999986</v>
      </c>
      <c r="O97" s="321">
        <f t="shared" si="29"/>
        <v>0</v>
      </c>
      <c r="P97" s="526"/>
    </row>
    <row r="98" spans="1:16" s="315" customFormat="1" ht="13.5" thickBot="1">
      <c r="A98" s="1086"/>
      <c r="B98" s="323"/>
      <c r="C98" s="336" t="s">
        <v>257</v>
      </c>
      <c r="D98" s="337" t="s">
        <v>435</v>
      </c>
      <c r="E98" s="338">
        <v>1348</v>
      </c>
      <c r="F98" s="320">
        <f t="shared" si="20"/>
        <v>808.8</v>
      </c>
      <c r="G98" s="322">
        <f t="shared" si="21"/>
        <v>0</v>
      </c>
      <c r="H98" s="321">
        <f t="shared" si="22"/>
        <v>68.343599999999995</v>
      </c>
      <c r="I98" s="321">
        <f t="shared" si="23"/>
        <v>0</v>
      </c>
      <c r="J98" s="321">
        <f t="shared" si="24"/>
        <v>25.881599999999999</v>
      </c>
      <c r="K98" s="321">
        <f t="shared" si="25"/>
        <v>0</v>
      </c>
      <c r="L98" s="321">
        <f t="shared" si="26"/>
        <v>21.271439999999998</v>
      </c>
      <c r="M98" s="321">
        <f t="shared" si="27"/>
        <v>0</v>
      </c>
      <c r="N98" s="321">
        <f t="shared" si="28"/>
        <v>17.712719999999997</v>
      </c>
      <c r="O98" s="321">
        <f t="shared" si="29"/>
        <v>0</v>
      </c>
      <c r="P98" s="526"/>
    </row>
    <row r="99" spans="1:16" s="315" customFormat="1" ht="13.5" thickBot="1">
      <c r="A99" s="1086"/>
      <c r="B99" s="319"/>
      <c r="C99" s="336" t="s">
        <v>258</v>
      </c>
      <c r="D99" s="337" t="s">
        <v>223</v>
      </c>
      <c r="E99" s="338">
        <v>56.71</v>
      </c>
      <c r="F99" s="38">
        <f t="shared" si="20"/>
        <v>34.025999999999996</v>
      </c>
      <c r="G99" s="41">
        <f t="shared" si="21"/>
        <v>0</v>
      </c>
      <c r="H99" s="39">
        <f t="shared" si="22"/>
        <v>2.875197</v>
      </c>
      <c r="I99" s="39">
        <f t="shared" si="23"/>
        <v>0</v>
      </c>
      <c r="J99" s="39">
        <f t="shared" si="24"/>
        <v>1.0888319999999998</v>
      </c>
      <c r="K99" s="39">
        <f t="shared" si="25"/>
        <v>0</v>
      </c>
      <c r="L99" s="39">
        <f t="shared" si="26"/>
        <v>0.8948837999999999</v>
      </c>
      <c r="M99" s="39">
        <f t="shared" si="27"/>
        <v>0</v>
      </c>
      <c r="N99" s="39">
        <f t="shared" si="28"/>
        <v>0.74516939999999987</v>
      </c>
      <c r="O99" s="39">
        <f t="shared" si="29"/>
        <v>0</v>
      </c>
      <c r="P99" s="526"/>
    </row>
    <row r="100" spans="1:16" s="315" customFormat="1" ht="13.5" thickBot="1">
      <c r="A100" s="1086"/>
      <c r="B100" s="325"/>
      <c r="C100" s="336" t="s">
        <v>259</v>
      </c>
      <c r="D100" s="337" t="s">
        <v>436</v>
      </c>
      <c r="E100" s="338">
        <v>32.1</v>
      </c>
      <c r="F100" s="38">
        <f t="shared" si="20"/>
        <v>19.260000000000002</v>
      </c>
      <c r="G100" s="41">
        <f t="shared" si="21"/>
        <v>0</v>
      </c>
      <c r="H100" s="39">
        <f t="shared" si="22"/>
        <v>1.6274700000000002</v>
      </c>
      <c r="I100" s="39">
        <f t="shared" si="23"/>
        <v>0</v>
      </c>
      <c r="J100" s="39">
        <f t="shared" si="24"/>
        <v>0.61632000000000009</v>
      </c>
      <c r="K100" s="39">
        <f t="shared" si="25"/>
        <v>0</v>
      </c>
      <c r="L100" s="39">
        <f t="shared" si="26"/>
        <v>0.50653800000000004</v>
      </c>
      <c r="M100" s="39">
        <f t="shared" si="27"/>
        <v>0</v>
      </c>
      <c r="N100" s="39">
        <f t="shared" si="28"/>
        <v>0.421794</v>
      </c>
      <c r="O100" s="39">
        <f t="shared" si="29"/>
        <v>0</v>
      </c>
      <c r="P100" s="526"/>
    </row>
    <row r="101" spans="1:16" s="315" customFormat="1" ht="13.5" thickBot="1">
      <c r="A101" s="1086"/>
      <c r="B101" s="318"/>
      <c r="C101" s="340" t="s">
        <v>527</v>
      </c>
      <c r="D101" s="337" t="s">
        <v>224</v>
      </c>
      <c r="E101" s="338">
        <v>35.31</v>
      </c>
      <c r="F101" s="320">
        <f t="shared" si="20"/>
        <v>21.186</v>
      </c>
      <c r="G101" s="322">
        <f t="shared" si="21"/>
        <v>0</v>
      </c>
      <c r="H101" s="321">
        <f t="shared" si="22"/>
        <v>1.7902170000000002</v>
      </c>
      <c r="I101" s="321">
        <f t="shared" si="23"/>
        <v>0</v>
      </c>
      <c r="J101" s="321">
        <f t="shared" si="24"/>
        <v>0.677952</v>
      </c>
      <c r="K101" s="321">
        <f t="shared" si="25"/>
        <v>0</v>
      </c>
      <c r="L101" s="321">
        <f t="shared" si="26"/>
        <v>0.55719180000000001</v>
      </c>
      <c r="M101" s="321">
        <f t="shared" si="27"/>
        <v>0</v>
      </c>
      <c r="N101" s="321">
        <f t="shared" si="28"/>
        <v>0.46397339999999998</v>
      </c>
      <c r="O101" s="321">
        <f t="shared" si="29"/>
        <v>0</v>
      </c>
      <c r="P101" s="526"/>
    </row>
    <row r="102" spans="1:16" s="315" customFormat="1" ht="26.25" thickBot="1">
      <c r="A102" s="1086"/>
      <c r="B102" s="318"/>
      <c r="C102" s="336" t="s">
        <v>298</v>
      </c>
      <c r="D102" s="337" t="s">
        <v>4044</v>
      </c>
      <c r="E102" s="338">
        <v>669.82</v>
      </c>
      <c r="F102" s="38">
        <f t="shared" si="20"/>
        <v>401.892</v>
      </c>
      <c r="G102" s="41">
        <f t="shared" si="21"/>
        <v>0</v>
      </c>
      <c r="H102" s="39">
        <f t="shared" si="22"/>
        <v>33.959873999999999</v>
      </c>
      <c r="I102" s="39">
        <f t="shared" si="23"/>
        <v>0</v>
      </c>
      <c r="J102" s="39">
        <f t="shared" si="24"/>
        <v>12.860544000000001</v>
      </c>
      <c r="K102" s="39">
        <f t="shared" si="25"/>
        <v>0</v>
      </c>
      <c r="L102" s="39">
        <f t="shared" si="26"/>
        <v>10.569759599999999</v>
      </c>
      <c r="M102" s="39">
        <f t="shared" si="27"/>
        <v>0</v>
      </c>
      <c r="N102" s="39">
        <f t="shared" si="28"/>
        <v>8.8014347999999991</v>
      </c>
      <c r="O102" s="39">
        <f t="shared" si="29"/>
        <v>0</v>
      </c>
      <c r="P102" s="526"/>
    </row>
    <row r="103" spans="1:16" s="315" customFormat="1" ht="13.5" thickBot="1">
      <c r="A103" s="1086"/>
      <c r="B103" s="319"/>
      <c r="C103" s="340" t="s">
        <v>530</v>
      </c>
      <c r="D103" s="337" t="s">
        <v>3950</v>
      </c>
      <c r="E103" s="338">
        <v>306.02</v>
      </c>
      <c r="F103" s="320">
        <f t="shared" si="20"/>
        <v>183.61199999999999</v>
      </c>
      <c r="G103" s="322">
        <f t="shared" si="21"/>
        <v>0</v>
      </c>
      <c r="H103" s="321">
        <f t="shared" si="22"/>
        <v>15.515214</v>
      </c>
      <c r="I103" s="321">
        <f t="shared" si="23"/>
        <v>0</v>
      </c>
      <c r="J103" s="321">
        <f t="shared" si="24"/>
        <v>5.8755839999999999</v>
      </c>
      <c r="K103" s="321">
        <f t="shared" si="25"/>
        <v>0</v>
      </c>
      <c r="L103" s="321">
        <f t="shared" si="26"/>
        <v>4.8289955999999998</v>
      </c>
      <c r="M103" s="321">
        <f t="shared" si="27"/>
        <v>0</v>
      </c>
      <c r="N103" s="321">
        <f t="shared" si="28"/>
        <v>4.0211027999999995</v>
      </c>
      <c r="O103" s="321">
        <f t="shared" si="29"/>
        <v>0</v>
      </c>
      <c r="P103" s="526"/>
    </row>
    <row r="104" spans="1:16" s="315" customFormat="1" ht="13.5" thickBot="1">
      <c r="A104" s="1086"/>
      <c r="B104" s="318"/>
      <c r="C104" s="336" t="s">
        <v>299</v>
      </c>
      <c r="D104" s="337" t="s">
        <v>437</v>
      </c>
      <c r="E104" s="338">
        <v>348.82</v>
      </c>
      <c r="F104" s="320">
        <f t="shared" si="20"/>
        <v>209.292</v>
      </c>
      <c r="G104" s="322">
        <f t="shared" si="21"/>
        <v>0</v>
      </c>
      <c r="H104" s="321">
        <f t="shared" si="22"/>
        <v>17.685174</v>
      </c>
      <c r="I104" s="321">
        <f t="shared" si="23"/>
        <v>0</v>
      </c>
      <c r="J104" s="321">
        <f t="shared" si="24"/>
        <v>6.6973440000000002</v>
      </c>
      <c r="K104" s="321">
        <f t="shared" si="25"/>
        <v>0</v>
      </c>
      <c r="L104" s="321">
        <f t="shared" si="26"/>
        <v>5.5043796</v>
      </c>
      <c r="M104" s="321">
        <f t="shared" si="27"/>
        <v>0</v>
      </c>
      <c r="N104" s="321">
        <f t="shared" si="28"/>
        <v>4.5834947999999995</v>
      </c>
      <c r="O104" s="321">
        <f t="shared" si="29"/>
        <v>0</v>
      </c>
      <c r="P104" s="526"/>
    </row>
    <row r="105" spans="1:16" ht="13.5" thickBot="1">
      <c r="A105" s="1086"/>
      <c r="B105" s="316"/>
      <c r="C105" s="476" t="s">
        <v>3880</v>
      </c>
      <c r="D105" s="478" t="s">
        <v>225</v>
      </c>
      <c r="E105" s="480">
        <v>132.68</v>
      </c>
      <c r="F105" s="320">
        <f t="shared" si="20"/>
        <v>79.608000000000004</v>
      </c>
      <c r="G105" s="322">
        <f t="shared" si="21"/>
        <v>0</v>
      </c>
      <c r="H105" s="321">
        <f t="shared" si="22"/>
        <v>6.7268760000000007</v>
      </c>
      <c r="I105" s="321">
        <f t="shared" si="23"/>
        <v>0</v>
      </c>
      <c r="J105" s="344">
        <f t="shared" si="24"/>
        <v>2.5474560000000004</v>
      </c>
      <c r="K105" s="321">
        <f t="shared" si="25"/>
        <v>0</v>
      </c>
      <c r="L105" s="321">
        <f t="shared" si="26"/>
        <v>2.0936904000000003</v>
      </c>
      <c r="M105" s="321">
        <f t="shared" si="27"/>
        <v>0</v>
      </c>
      <c r="N105" s="344">
        <f t="shared" si="28"/>
        <v>1.7434152000000001</v>
      </c>
      <c r="O105" s="321">
        <f t="shared" si="29"/>
        <v>0</v>
      </c>
      <c r="P105" s="526"/>
    </row>
    <row r="106" spans="1:16" s="315" customFormat="1" ht="13.5" thickBot="1">
      <c r="A106" s="1087"/>
      <c r="B106" s="319"/>
      <c r="C106" s="336" t="s">
        <v>369</v>
      </c>
      <c r="D106" s="337" t="s">
        <v>3913</v>
      </c>
      <c r="E106" s="338">
        <v>5896.77</v>
      </c>
      <c r="F106" s="320">
        <f t="shared" si="20"/>
        <v>3538.0620000000004</v>
      </c>
      <c r="G106" s="322">
        <f t="shared" si="21"/>
        <v>0</v>
      </c>
      <c r="H106" s="321">
        <f t="shared" si="22"/>
        <v>298.96623900000003</v>
      </c>
      <c r="I106" s="321">
        <f t="shared" si="23"/>
        <v>0</v>
      </c>
      <c r="J106" s="321">
        <f t="shared" si="24"/>
        <v>113.21798400000002</v>
      </c>
      <c r="K106" s="321">
        <f t="shared" si="25"/>
        <v>0</v>
      </c>
      <c r="L106" s="321">
        <f t="shared" si="26"/>
        <v>93.051030600000004</v>
      </c>
      <c r="M106" s="321">
        <f t="shared" si="27"/>
        <v>0</v>
      </c>
      <c r="N106" s="321">
        <f t="shared" si="28"/>
        <v>77.4835578</v>
      </c>
      <c r="O106" s="321">
        <f t="shared" si="29"/>
        <v>0</v>
      </c>
      <c r="P106" s="526"/>
    </row>
    <row r="107" spans="1:16" s="315" customFormat="1" ht="15">
      <c r="B107" s="256"/>
      <c r="C107" s="256"/>
      <c r="D107" s="1008" t="s">
        <v>65</v>
      </c>
      <c r="E107" s="1008"/>
      <c r="F107" s="1008"/>
      <c r="G107" s="328">
        <f t="array" ref="G107">SUM(G49:G106)+G37:G48:G106+G41:G48:G106+G45</f>
        <v>0</v>
      </c>
      <c r="H107" s="329" t="s">
        <v>66</v>
      </c>
      <c r="I107" s="328">
        <f t="array" ref="I107">SUM(I49:I106)+I37:I48:I106+I41:I48:I106+I45</f>
        <v>0</v>
      </c>
      <c r="J107" s="329" t="s">
        <v>67</v>
      </c>
      <c r="K107" s="328">
        <f t="array" ref="K107">SUM(K49:K106)+K37:K48:K106+K41:K48:K106+K45</f>
        <v>0</v>
      </c>
      <c r="L107" s="329" t="s">
        <v>68</v>
      </c>
      <c r="M107" s="328">
        <f t="array" ref="M107">SUM(M49:M106)+M37:M48:M106+M41:M48:M106+M45</f>
        <v>0</v>
      </c>
      <c r="N107" s="329" t="s">
        <v>69</v>
      </c>
      <c r="O107" s="328">
        <f t="array" ref="O107">SUM(O49:O106)+O37:O48:O106+O41:O48:O106+O45</f>
        <v>0</v>
      </c>
    </row>
    <row r="108" spans="1:16">
      <c r="F108" s="330"/>
      <c r="G108" s="330"/>
      <c r="H108" s="331"/>
    </row>
    <row r="109" spans="1:16" ht="15" customHeight="1">
      <c r="B109" s="332"/>
      <c r="F109" s="330"/>
      <c r="G109" s="330"/>
    </row>
    <row r="110" spans="1:16" ht="15" customHeight="1">
      <c r="B110" s="332"/>
      <c r="F110" s="330"/>
      <c r="G110" s="330"/>
    </row>
    <row r="111" spans="1:16">
      <c r="F111" s="330"/>
      <c r="G111" s="330"/>
    </row>
    <row r="112" spans="1:16">
      <c r="F112" s="330"/>
      <c r="G112" s="330"/>
    </row>
    <row r="113" spans="2:7">
      <c r="F113" s="330"/>
      <c r="G113" s="330"/>
    </row>
    <row r="114" spans="2:7">
      <c r="F114" s="330"/>
      <c r="G114" s="330"/>
    </row>
    <row r="115" spans="2:7">
      <c r="F115" s="330"/>
      <c r="G115" s="330"/>
    </row>
    <row r="116" spans="2:7">
      <c r="F116" s="330"/>
      <c r="G116" s="330"/>
    </row>
    <row r="117" spans="2:7">
      <c r="F117" s="330"/>
      <c r="G117" s="330"/>
    </row>
    <row r="118" spans="2:7">
      <c r="F118" s="330"/>
      <c r="G118" s="330"/>
    </row>
    <row r="119" spans="2:7">
      <c r="F119" s="330"/>
      <c r="G119" s="330"/>
    </row>
    <row r="120" spans="2:7">
      <c r="F120" s="330"/>
      <c r="G120" s="330"/>
    </row>
    <row r="121" spans="2:7">
      <c r="F121" s="330"/>
      <c r="G121" s="330"/>
    </row>
    <row r="122" spans="2:7">
      <c r="F122" s="330"/>
      <c r="G122" s="330"/>
    </row>
    <row r="123" spans="2:7">
      <c r="F123" s="330"/>
      <c r="G123" s="330"/>
    </row>
    <row r="124" spans="2:7">
      <c r="F124" s="330"/>
      <c r="G124" s="330"/>
    </row>
    <row r="125" spans="2:7">
      <c r="F125" s="330"/>
      <c r="G125" s="330"/>
    </row>
    <row r="126" spans="2:7">
      <c r="B126" s="332"/>
      <c r="C126" s="332"/>
      <c r="F126" s="330"/>
      <c r="G126" s="330"/>
    </row>
    <row r="127" spans="2:7">
      <c r="F127" s="330"/>
      <c r="G127" s="330"/>
    </row>
    <row r="128" spans="2:7">
      <c r="F128" s="330"/>
      <c r="G128" s="330"/>
    </row>
    <row r="129" spans="6:7">
      <c r="F129" s="330"/>
      <c r="G129" s="330"/>
    </row>
    <row r="130" spans="6:7">
      <c r="F130" s="330"/>
      <c r="G130" s="330"/>
    </row>
    <row r="131" spans="6:7">
      <c r="F131" s="330"/>
      <c r="G131" s="330"/>
    </row>
    <row r="132" spans="6:7">
      <c r="F132" s="330"/>
      <c r="G132" s="330"/>
    </row>
    <row r="133" spans="6:7">
      <c r="F133" s="330"/>
      <c r="G133" s="330"/>
    </row>
    <row r="134" spans="6:7">
      <c r="F134" s="330"/>
      <c r="G134" s="330"/>
    </row>
    <row r="135" spans="6:7">
      <c r="F135" s="330"/>
      <c r="G135" s="330"/>
    </row>
    <row r="136" spans="6:7">
      <c r="F136" s="330"/>
      <c r="G136" s="330"/>
    </row>
    <row r="137" spans="6:7">
      <c r="F137" s="330"/>
      <c r="G137" s="330"/>
    </row>
    <row r="138" spans="6:7">
      <c r="F138" s="330"/>
      <c r="G138" s="330"/>
    </row>
    <row r="139" spans="6:7">
      <c r="F139" s="330"/>
      <c r="G139" s="330"/>
    </row>
    <row r="140" spans="6:7">
      <c r="F140" s="330"/>
      <c r="G140" s="330"/>
    </row>
    <row r="141" spans="6:7">
      <c r="F141" s="330"/>
      <c r="G141" s="330"/>
    </row>
    <row r="142" spans="6:7">
      <c r="F142" s="330"/>
      <c r="G142" s="330"/>
    </row>
    <row r="143" spans="6:7">
      <c r="F143" s="330"/>
      <c r="G143" s="330"/>
    </row>
    <row r="144" spans="6:7">
      <c r="F144" s="330"/>
      <c r="G144" s="330"/>
    </row>
    <row r="145" spans="6:7">
      <c r="F145" s="330"/>
      <c r="G145" s="330"/>
    </row>
    <row r="146" spans="6:7">
      <c r="F146" s="330"/>
      <c r="G146" s="330"/>
    </row>
    <row r="147" spans="6:7">
      <c r="F147" s="330"/>
      <c r="G147" s="330"/>
    </row>
    <row r="148" spans="6:7">
      <c r="F148" s="330"/>
      <c r="G148" s="330"/>
    </row>
    <row r="149" spans="6:7">
      <c r="F149" s="330"/>
      <c r="G149" s="330"/>
    </row>
    <row r="150" spans="6:7">
      <c r="F150" s="330"/>
      <c r="G150" s="330"/>
    </row>
    <row r="151" spans="6:7">
      <c r="F151" s="330"/>
      <c r="G151" s="330"/>
    </row>
    <row r="152" spans="6:7">
      <c r="F152" s="330"/>
      <c r="G152" s="330"/>
    </row>
    <row r="153" spans="6:7">
      <c r="F153" s="330"/>
      <c r="G153" s="330"/>
    </row>
    <row r="154" spans="6:7">
      <c r="F154" s="330"/>
      <c r="G154" s="330"/>
    </row>
    <row r="155" spans="6:7">
      <c r="F155" s="330"/>
      <c r="G155" s="330"/>
    </row>
    <row r="156" spans="6:7">
      <c r="F156" s="330"/>
      <c r="G156" s="330"/>
    </row>
    <row r="157" spans="6:7">
      <c r="F157" s="330"/>
      <c r="G157" s="330"/>
    </row>
    <row r="158" spans="6:7">
      <c r="F158" s="330"/>
      <c r="G158" s="330"/>
    </row>
    <row r="159" spans="6:7">
      <c r="F159" s="330"/>
      <c r="G159" s="330"/>
    </row>
    <row r="160" spans="6:7">
      <c r="F160" s="330"/>
      <c r="G160" s="330"/>
    </row>
    <row r="161" spans="6:7">
      <c r="F161" s="330"/>
      <c r="G161" s="330"/>
    </row>
    <row r="162" spans="6:7">
      <c r="F162" s="330"/>
      <c r="G162" s="330"/>
    </row>
    <row r="163" spans="6:7">
      <c r="F163" s="330"/>
      <c r="G163" s="330"/>
    </row>
    <row r="164" spans="6:7">
      <c r="F164" s="330"/>
      <c r="G164" s="330"/>
    </row>
    <row r="165" spans="6:7">
      <c r="F165" s="330"/>
      <c r="G165" s="330"/>
    </row>
    <row r="166" spans="6:7">
      <c r="F166" s="330"/>
      <c r="G166" s="330"/>
    </row>
    <row r="167" spans="6:7">
      <c r="F167" s="330"/>
      <c r="G167" s="330"/>
    </row>
    <row r="168" spans="6:7">
      <c r="F168" s="330"/>
      <c r="G168" s="330"/>
    </row>
    <row r="169" spans="6:7">
      <c r="F169" s="330"/>
      <c r="G169" s="330"/>
    </row>
    <row r="170" spans="6:7">
      <c r="F170" s="330"/>
      <c r="G170" s="330"/>
    </row>
    <row r="171" spans="6:7">
      <c r="F171" s="330"/>
      <c r="G171" s="330"/>
    </row>
    <row r="172" spans="6:7">
      <c r="F172" s="330"/>
      <c r="G172" s="330"/>
    </row>
    <row r="173" spans="6:7">
      <c r="F173" s="330"/>
      <c r="G173" s="330"/>
    </row>
    <row r="174" spans="6:7">
      <c r="F174" s="330"/>
      <c r="G174" s="330"/>
    </row>
    <row r="175" spans="6:7">
      <c r="F175" s="330"/>
      <c r="G175" s="330"/>
    </row>
    <row r="176" spans="6:7">
      <c r="F176" s="330"/>
      <c r="G176" s="330"/>
    </row>
    <row r="177" spans="6:7">
      <c r="F177" s="330"/>
      <c r="G177" s="330"/>
    </row>
    <row r="178" spans="6:7">
      <c r="F178" s="330"/>
      <c r="G178" s="330"/>
    </row>
    <row r="179" spans="6:7">
      <c r="F179" s="330"/>
      <c r="G179" s="330"/>
    </row>
    <row r="180" spans="6:7">
      <c r="F180" s="330"/>
      <c r="G180" s="330"/>
    </row>
    <row r="181" spans="6:7">
      <c r="F181" s="330"/>
      <c r="G181" s="330"/>
    </row>
    <row r="182" spans="6:7">
      <c r="F182" s="330"/>
      <c r="G182" s="330"/>
    </row>
    <row r="183" spans="6:7">
      <c r="F183" s="330"/>
      <c r="G183" s="330"/>
    </row>
    <row r="184" spans="6:7">
      <c r="F184" s="330"/>
      <c r="G184" s="330"/>
    </row>
    <row r="185" spans="6:7">
      <c r="F185" s="330"/>
      <c r="G185" s="330"/>
    </row>
    <row r="186" spans="6:7">
      <c r="F186" s="330"/>
      <c r="G186" s="330"/>
    </row>
    <row r="187" spans="6:7">
      <c r="F187" s="330"/>
      <c r="G187" s="330"/>
    </row>
    <row r="188" spans="6:7">
      <c r="F188" s="330"/>
      <c r="G188" s="330"/>
    </row>
    <row r="189" spans="6:7">
      <c r="F189" s="330"/>
      <c r="G189" s="330"/>
    </row>
    <row r="190" spans="6:7">
      <c r="F190" s="330"/>
      <c r="G190" s="330"/>
    </row>
    <row r="191" spans="6:7">
      <c r="F191" s="330"/>
      <c r="G191" s="330"/>
    </row>
    <row r="192" spans="6:7">
      <c r="F192" s="330"/>
      <c r="G192" s="330"/>
    </row>
    <row r="193" spans="6:7">
      <c r="F193" s="330"/>
      <c r="G193" s="330"/>
    </row>
    <row r="194" spans="6:7">
      <c r="F194" s="330"/>
      <c r="G194" s="330"/>
    </row>
    <row r="195" spans="6:7">
      <c r="F195" s="330"/>
      <c r="G195" s="330"/>
    </row>
    <row r="196" spans="6:7">
      <c r="F196" s="330"/>
      <c r="G196" s="330"/>
    </row>
    <row r="197" spans="6:7">
      <c r="F197" s="330"/>
      <c r="G197" s="330"/>
    </row>
    <row r="198" spans="6:7">
      <c r="F198" s="330"/>
      <c r="G198" s="330"/>
    </row>
    <row r="199" spans="6:7">
      <c r="F199" s="330"/>
      <c r="G199" s="330"/>
    </row>
    <row r="200" spans="6:7">
      <c r="F200" s="330"/>
      <c r="G200" s="330"/>
    </row>
    <row r="201" spans="6:7">
      <c r="F201" s="330"/>
      <c r="G201" s="330"/>
    </row>
    <row r="202" spans="6:7">
      <c r="F202" s="330"/>
      <c r="G202" s="330"/>
    </row>
    <row r="203" spans="6:7">
      <c r="F203" s="330"/>
      <c r="G203" s="330"/>
    </row>
    <row r="204" spans="6:7">
      <c r="F204" s="330"/>
      <c r="G204" s="330"/>
    </row>
    <row r="205" spans="6:7">
      <c r="F205" s="330"/>
      <c r="G205" s="330"/>
    </row>
    <row r="206" spans="6:7">
      <c r="F206" s="330"/>
      <c r="G206" s="330"/>
    </row>
    <row r="207" spans="6:7">
      <c r="F207" s="330"/>
      <c r="G207" s="330"/>
    </row>
    <row r="208" spans="6:7">
      <c r="F208" s="330"/>
      <c r="G208" s="330"/>
    </row>
    <row r="209" spans="6:7">
      <c r="F209" s="330"/>
      <c r="G209" s="330"/>
    </row>
    <row r="210" spans="6:7">
      <c r="F210" s="330"/>
      <c r="G210" s="330"/>
    </row>
    <row r="211" spans="6:7">
      <c r="F211" s="330"/>
      <c r="G211" s="330"/>
    </row>
    <row r="212" spans="6:7">
      <c r="F212" s="330"/>
      <c r="G212" s="330"/>
    </row>
  </sheetData>
  <mergeCells count="58">
    <mergeCell ref="A4:O4"/>
    <mergeCell ref="A5:O5"/>
    <mergeCell ref="F10:I10"/>
    <mergeCell ref="A26:O26"/>
    <mergeCell ref="A27:D27"/>
    <mergeCell ref="E27:K27"/>
    <mergeCell ref="L27:O27"/>
    <mergeCell ref="A28:C28"/>
    <mergeCell ref="E28:H28"/>
    <mergeCell ref="I28:K28"/>
    <mergeCell ref="L28:M28"/>
    <mergeCell ref="N28:O28"/>
    <mergeCell ref="A29:C29"/>
    <mergeCell ref="E29:H29"/>
    <mergeCell ref="I29:K29"/>
    <mergeCell ref="L29:M29"/>
    <mergeCell ref="N29:O29"/>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F35:G35"/>
    <mergeCell ref="D107:F107"/>
    <mergeCell ref="O45:O47"/>
    <mergeCell ref="A48:O48"/>
    <mergeCell ref="A45:A47"/>
    <mergeCell ref="B45:B47"/>
    <mergeCell ref="G45:G47"/>
    <mergeCell ref="I45:I47"/>
    <mergeCell ref="K45:K47"/>
    <mergeCell ref="M45:M47"/>
    <mergeCell ref="K41:K43"/>
    <mergeCell ref="M41:M43"/>
    <mergeCell ref="O41:O43"/>
    <mergeCell ref="A37:A39"/>
    <mergeCell ref="B37:B39"/>
    <mergeCell ref="G37:G39"/>
    <mergeCell ref="A49:A106"/>
    <mergeCell ref="O37:O39"/>
    <mergeCell ref="A41:A43"/>
    <mergeCell ref="B41:B43"/>
    <mergeCell ref="G41:G43"/>
    <mergeCell ref="I41:I43"/>
    <mergeCell ref="I37:I39"/>
    <mergeCell ref="K37:K39"/>
    <mergeCell ref="M37:M39"/>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8950F-E9AF-4157-B24A-7FD92EB72391}">
  <sheetPr>
    <tabColor indexed="62"/>
  </sheetPr>
  <dimension ref="A1:P210"/>
  <sheetViews>
    <sheetView topLeftCell="A10" zoomScale="90" zoomScaleNormal="90" workbookViewId="0">
      <selection activeCell="D37" sqref="D37"/>
    </sheetView>
  </sheetViews>
  <sheetFormatPr defaultColWidth="8.85546875" defaultRowHeight="12.75"/>
  <cols>
    <col min="1" max="1" width="14.28515625" style="256" customWidth="1"/>
    <col min="2" max="2" width="8.7109375" style="256" customWidth="1"/>
    <col min="3" max="3" width="19" style="256" customWidth="1"/>
    <col min="4" max="4" width="46.7109375" style="256" customWidth="1"/>
    <col min="5" max="5" width="24" style="256" customWidth="1"/>
    <col min="6" max="6" width="18.28515625" style="333" customWidth="1"/>
    <col min="7" max="7" width="16" style="333" customWidth="1"/>
    <col min="8" max="8" width="24.5703125" style="256" bestFit="1" customWidth="1"/>
    <col min="9" max="9" width="23" style="256" customWidth="1"/>
    <col min="10" max="10" width="25" style="256" bestFit="1" customWidth="1"/>
    <col min="11" max="11" width="23" style="256" customWidth="1"/>
    <col min="12" max="12" width="25" style="256" bestFit="1" customWidth="1"/>
    <col min="13" max="13" width="23" style="256" customWidth="1"/>
    <col min="14" max="14" width="25" style="256" bestFit="1" customWidth="1"/>
    <col min="15" max="15" width="23" style="256" customWidth="1"/>
    <col min="16" max="16" width="12.42578125" style="256" customWidth="1"/>
    <col min="17" max="16384" width="8.85546875" style="256"/>
  </cols>
  <sheetData>
    <row r="1" spans="1:15" ht="13.5" thickBot="1">
      <c r="B1" s="257"/>
      <c r="C1" s="257"/>
      <c r="D1" s="258"/>
      <c r="E1" s="258"/>
      <c r="F1" s="259"/>
      <c r="G1" s="259"/>
      <c r="H1" s="259"/>
      <c r="I1" s="259"/>
      <c r="J1" s="259"/>
      <c r="K1" s="258"/>
      <c r="L1" s="259"/>
    </row>
    <row r="2" spans="1:15" ht="9" customHeight="1">
      <c r="A2" s="260"/>
      <c r="B2" s="261"/>
      <c r="C2" s="261"/>
      <c r="D2" s="262"/>
      <c r="E2" s="262"/>
      <c r="F2" s="263"/>
      <c r="G2" s="263"/>
      <c r="H2" s="263"/>
      <c r="I2" s="264"/>
      <c r="J2" s="264"/>
      <c r="K2" s="264"/>
      <c r="L2" s="264"/>
      <c r="M2" s="260"/>
      <c r="N2" s="260"/>
      <c r="O2" s="260"/>
    </row>
    <row r="3" spans="1:15" ht="10.5" customHeight="1">
      <c r="B3" s="257"/>
      <c r="C3" s="257"/>
      <c r="D3" s="258"/>
      <c r="E3" s="258"/>
      <c r="F3" s="259"/>
      <c r="G3" s="259"/>
      <c r="H3" s="259"/>
      <c r="I3" s="265"/>
      <c r="J3" s="265"/>
      <c r="K3" s="265"/>
      <c r="L3" s="265"/>
    </row>
    <row r="4" spans="1:15" ht="36" customHeight="1">
      <c r="A4" s="1112" t="s">
        <v>445</v>
      </c>
      <c r="B4" s="1112"/>
      <c r="C4" s="1112"/>
      <c r="D4" s="1112"/>
      <c r="E4" s="1112"/>
      <c r="F4" s="1112"/>
      <c r="G4" s="1112"/>
      <c r="H4" s="1112"/>
      <c r="I4" s="1112"/>
      <c r="J4" s="1112"/>
      <c r="K4" s="1112"/>
      <c r="L4" s="1112"/>
      <c r="M4" s="1112"/>
      <c r="N4" s="1112"/>
      <c r="O4" s="1112"/>
    </row>
    <row r="5" spans="1:15" s="266" customFormat="1" ht="61.5" customHeight="1">
      <c r="A5" s="1113" t="s">
        <v>405</v>
      </c>
      <c r="B5" s="1113"/>
      <c r="C5" s="1113"/>
      <c r="D5" s="1113"/>
      <c r="E5" s="1113"/>
      <c r="F5" s="1113"/>
      <c r="G5" s="1113"/>
      <c r="H5" s="1113"/>
      <c r="I5" s="1113"/>
      <c r="J5" s="1113"/>
      <c r="K5" s="1113"/>
      <c r="L5" s="1113"/>
      <c r="M5" s="1113"/>
      <c r="N5" s="1113"/>
      <c r="O5" s="1113"/>
    </row>
    <row r="6" spans="1:15" ht="9" customHeight="1" thickBot="1">
      <c r="A6" s="267"/>
      <c r="B6" s="267"/>
      <c r="C6" s="267"/>
      <c r="D6" s="267"/>
      <c r="E6" s="267"/>
      <c r="F6" s="267"/>
      <c r="G6" s="267"/>
      <c r="H6" s="267"/>
      <c r="I6" s="267"/>
      <c r="J6" s="267"/>
      <c r="K6" s="267"/>
      <c r="L6" s="267"/>
      <c r="M6" s="267"/>
      <c r="N6" s="267"/>
      <c r="O6" s="267"/>
    </row>
    <row r="9" spans="1:15" s="265" customFormat="1" ht="14.25">
      <c r="B9" s="268"/>
      <c r="C9" s="268"/>
      <c r="D9" s="269"/>
      <c r="E9" s="269"/>
      <c r="F9" s="269"/>
      <c r="G9" s="269"/>
      <c r="H9" s="269"/>
      <c r="I9" s="269"/>
      <c r="J9" s="269"/>
      <c r="K9" s="269"/>
      <c r="L9" s="269"/>
      <c r="M9" s="269"/>
      <c r="N9" s="269"/>
      <c r="O9" s="269"/>
    </row>
    <row r="10" spans="1:15" s="265" customFormat="1" ht="14.25">
      <c r="F10" s="1046" t="s">
        <v>0</v>
      </c>
      <c r="G10" s="1046"/>
      <c r="H10" s="1046"/>
      <c r="I10" s="1046"/>
      <c r="J10" s="256"/>
      <c r="K10" s="256"/>
      <c r="L10" s="256"/>
    </row>
    <row r="11" spans="1:15" s="265" customFormat="1" ht="14.25">
      <c r="F11" s="270" t="s">
        <v>261</v>
      </c>
      <c r="G11" s="271" t="s">
        <v>262</v>
      </c>
      <c r="I11" s="272"/>
      <c r="L11" s="272"/>
    </row>
    <row r="12" spans="1:15" s="265" customFormat="1" ht="14.25">
      <c r="F12" s="270" t="s">
        <v>263</v>
      </c>
      <c r="G12" s="630" t="s">
        <v>264</v>
      </c>
      <c r="I12" s="272"/>
      <c r="J12" s="273"/>
      <c r="L12" s="272"/>
    </row>
    <row r="13" spans="1:15" s="265" customFormat="1" ht="14.25">
      <c r="F13" s="270" t="s">
        <v>265</v>
      </c>
      <c r="G13" s="630" t="s">
        <v>266</v>
      </c>
      <c r="I13" s="272"/>
      <c r="L13" s="272"/>
    </row>
    <row r="14" spans="1:15" s="265" customFormat="1" ht="14.25">
      <c r="F14" s="270" t="s">
        <v>7</v>
      </c>
      <c r="G14" s="265" t="s">
        <v>446</v>
      </c>
      <c r="I14" s="272"/>
      <c r="J14" s="272"/>
      <c r="L14" s="272"/>
    </row>
    <row r="15" spans="1:15" s="265" customFormat="1" ht="14.25">
      <c r="D15" s="274"/>
      <c r="E15" s="274"/>
      <c r="F15" s="270" t="s">
        <v>8</v>
      </c>
      <c r="G15" s="265" t="s">
        <v>447</v>
      </c>
      <c r="I15" s="272"/>
      <c r="J15" s="272"/>
      <c r="L15" s="272"/>
    </row>
    <row r="16" spans="1:15" s="265" customFormat="1" ht="14.25">
      <c r="F16" s="270" t="s">
        <v>10</v>
      </c>
      <c r="G16" s="265" t="s">
        <v>408</v>
      </c>
      <c r="I16" s="272"/>
      <c r="J16" s="272"/>
      <c r="L16" s="272"/>
    </row>
    <row r="17" spans="1:15" s="265" customFormat="1" ht="14.25">
      <c r="F17" s="270" t="s">
        <v>409</v>
      </c>
      <c r="G17" s="265" t="s">
        <v>410</v>
      </c>
      <c r="I17" s="272"/>
      <c r="J17" s="272"/>
      <c r="L17" s="272"/>
    </row>
    <row r="18" spans="1:15" s="265" customFormat="1" ht="14.25">
      <c r="F18" s="270" t="s">
        <v>185</v>
      </c>
      <c r="G18" s="265" t="s">
        <v>448</v>
      </c>
      <c r="I18" s="275"/>
      <c r="J18" s="275"/>
      <c r="L18" s="275"/>
    </row>
    <row r="19" spans="1:15" s="265" customFormat="1" ht="14.25">
      <c r="F19" s="270"/>
      <c r="G19" s="265" t="s">
        <v>449</v>
      </c>
      <c r="I19" s="275"/>
      <c r="J19" s="275"/>
      <c r="L19" s="275"/>
    </row>
    <row r="20" spans="1:15" s="265" customFormat="1" ht="14.25">
      <c r="F20" s="270" t="s">
        <v>14</v>
      </c>
      <c r="G20" s="265" t="s">
        <v>413</v>
      </c>
      <c r="I20" s="275"/>
      <c r="J20" s="275"/>
      <c r="L20" s="275"/>
    </row>
    <row r="21" spans="1:15" s="265" customFormat="1" ht="14.25">
      <c r="F21" s="276"/>
      <c r="G21" s="265" t="s">
        <v>414</v>
      </c>
      <c r="I21" s="275"/>
      <c r="J21" s="275"/>
      <c r="L21" s="275"/>
    </row>
    <row r="22" spans="1:15" s="265" customFormat="1" ht="14.25">
      <c r="F22" s="270" t="s">
        <v>18</v>
      </c>
      <c r="G22" s="265" t="s">
        <v>273</v>
      </c>
      <c r="I22" s="275"/>
      <c r="J22" s="275"/>
      <c r="L22" s="275"/>
    </row>
    <row r="23" spans="1:15" s="265" customFormat="1" ht="14.25">
      <c r="F23" s="270" t="s">
        <v>276</v>
      </c>
      <c r="G23" s="630" t="s">
        <v>277</v>
      </c>
      <c r="I23" s="275"/>
      <c r="J23" s="275"/>
      <c r="L23" s="275"/>
    </row>
    <row r="24" spans="1:15" s="265" customFormat="1" ht="14.25">
      <c r="F24" s="270" t="s">
        <v>26</v>
      </c>
      <c r="G24" s="265" t="s">
        <v>415</v>
      </c>
      <c r="I24" s="275"/>
      <c r="J24" s="275"/>
      <c r="L24" s="275"/>
    </row>
    <row r="25" spans="1:15" s="265" customFormat="1" ht="14.25">
      <c r="D25" s="277"/>
      <c r="E25" s="277"/>
      <c r="F25" s="270" t="s">
        <v>28</v>
      </c>
      <c r="G25" s="278" t="s">
        <v>416</v>
      </c>
      <c r="K25" s="275"/>
    </row>
    <row r="26" spans="1:15" s="265" customFormat="1" ht="15" thickBot="1">
      <c r="A26" s="1111" t="s">
        <v>30</v>
      </c>
      <c r="B26" s="1167"/>
      <c r="C26" s="1167"/>
      <c r="D26" s="1167"/>
      <c r="E26" s="1167"/>
      <c r="F26" s="1167"/>
      <c r="G26" s="1167"/>
      <c r="H26" s="1167"/>
      <c r="I26" s="1167"/>
      <c r="J26" s="1167"/>
      <c r="K26" s="1167"/>
      <c r="L26" s="1167"/>
      <c r="M26" s="1167"/>
      <c r="N26" s="1167"/>
      <c r="O26" s="1167"/>
    </row>
    <row r="27" spans="1:15" s="265" customFormat="1" ht="14.25">
      <c r="A27" s="1105" t="s">
        <v>417</v>
      </c>
      <c r="B27" s="1106"/>
      <c r="C27" s="1106"/>
      <c r="D27" s="1107"/>
      <c r="E27" s="1108" t="s">
        <v>418</v>
      </c>
      <c r="F27" s="1168"/>
      <c r="G27" s="1168"/>
      <c r="H27" s="1168"/>
      <c r="I27" s="1168"/>
      <c r="J27" s="1168"/>
      <c r="K27" s="1169"/>
      <c r="L27" s="1105" t="s">
        <v>419</v>
      </c>
      <c r="M27" s="1106"/>
      <c r="N27" s="1106"/>
      <c r="O27" s="1107"/>
    </row>
    <row r="28" spans="1:15" s="265" customFormat="1" ht="12.75" customHeight="1">
      <c r="A28" s="1028" t="s">
        <v>33</v>
      </c>
      <c r="B28" s="1029"/>
      <c r="C28" s="1029"/>
      <c r="D28" s="279" t="s">
        <v>34</v>
      </c>
      <c r="E28" s="1028" t="s">
        <v>33</v>
      </c>
      <c r="F28" s="1029"/>
      <c r="G28" s="1029"/>
      <c r="H28" s="1029"/>
      <c r="I28" s="1093" t="s">
        <v>35</v>
      </c>
      <c r="J28" s="1093"/>
      <c r="K28" s="1117"/>
      <c r="L28" s="1028" t="s">
        <v>33</v>
      </c>
      <c r="M28" s="1029"/>
      <c r="N28" s="1095" t="s">
        <v>35</v>
      </c>
      <c r="O28" s="1096"/>
    </row>
    <row r="29" spans="1:15" s="265" customFormat="1" ht="12.75" customHeight="1">
      <c r="A29" s="1028" t="s">
        <v>199</v>
      </c>
      <c r="B29" s="1029"/>
      <c r="C29" s="1029"/>
      <c r="D29" s="280">
        <v>0</v>
      </c>
      <c r="E29" s="1028" t="s">
        <v>199</v>
      </c>
      <c r="F29" s="1029"/>
      <c r="G29" s="1029"/>
      <c r="H29" s="1029"/>
      <c r="I29" s="1102">
        <v>856</v>
      </c>
      <c r="J29" s="1102"/>
      <c r="K29" s="1170"/>
      <c r="L29" s="1028" t="s">
        <v>199</v>
      </c>
      <c r="M29" s="1029"/>
      <c r="N29" s="1103">
        <v>1127</v>
      </c>
      <c r="O29" s="1104"/>
    </row>
    <row r="30" spans="1:15" s="265" customFormat="1" ht="12.75" customHeight="1">
      <c r="A30" s="1028" t="s">
        <v>37</v>
      </c>
      <c r="B30" s="1029"/>
      <c r="C30" s="1029"/>
      <c r="D30" s="279" t="s">
        <v>38</v>
      </c>
      <c r="E30" s="1028" t="s">
        <v>37</v>
      </c>
      <c r="F30" s="1029"/>
      <c r="G30" s="1029"/>
      <c r="H30" s="1029"/>
      <c r="I30" s="1093" t="s">
        <v>396</v>
      </c>
      <c r="J30" s="1093"/>
      <c r="K30" s="1117"/>
      <c r="L30" s="1028" t="s">
        <v>37</v>
      </c>
      <c r="M30" s="1029"/>
      <c r="N30" s="1095" t="s">
        <v>397</v>
      </c>
      <c r="O30" s="1096"/>
    </row>
    <row r="31" spans="1:15" s="265" customFormat="1" ht="12.75" customHeight="1">
      <c r="A31" s="1028" t="s">
        <v>202</v>
      </c>
      <c r="B31" s="1029"/>
      <c r="C31" s="1029"/>
      <c r="D31" s="279" t="s">
        <v>420</v>
      </c>
      <c r="E31" s="1028" t="s">
        <v>204</v>
      </c>
      <c r="F31" s="1020"/>
      <c r="G31" s="1020"/>
      <c r="H31" s="1020"/>
      <c r="I31" s="1093" t="s">
        <v>421</v>
      </c>
      <c r="J31" s="1115"/>
      <c r="K31" s="1094"/>
      <c r="L31" s="1028" t="s">
        <v>40</v>
      </c>
      <c r="M31" s="1020"/>
      <c r="N31" s="1095" t="s">
        <v>421</v>
      </c>
      <c r="O31" s="1096"/>
    </row>
    <row r="32" spans="1:15" s="265" customFormat="1" ht="12.75" customHeight="1" thickBot="1">
      <c r="A32" s="1031" t="s">
        <v>285</v>
      </c>
      <c r="B32" s="1032"/>
      <c r="C32" s="1032"/>
      <c r="D32" s="281" t="s">
        <v>286</v>
      </c>
      <c r="E32" s="1031" t="s">
        <v>285</v>
      </c>
      <c r="F32" s="1032"/>
      <c r="G32" s="1033"/>
      <c r="H32" s="1033"/>
      <c r="I32" s="1097" t="s">
        <v>287</v>
      </c>
      <c r="J32" s="1097"/>
      <c r="K32" s="1116"/>
      <c r="L32" s="1031" t="s">
        <v>285</v>
      </c>
      <c r="M32" s="1033"/>
      <c r="N32" s="1033" t="s">
        <v>287</v>
      </c>
      <c r="O32" s="1034"/>
    </row>
    <row r="33" spans="1:15" s="265" customFormat="1" ht="12.75" customHeight="1">
      <c r="B33" s="282"/>
      <c r="C33" s="282"/>
      <c r="D33" s="277"/>
      <c r="E33" s="277"/>
      <c r="F33" s="283"/>
      <c r="G33" s="283"/>
      <c r="I33" s="266"/>
      <c r="J33" s="266"/>
      <c r="K33" s="266"/>
      <c r="L33" s="266"/>
    </row>
    <row r="34" spans="1:15" s="265" customFormat="1" ht="18" customHeight="1" thickBot="1">
      <c r="C34" s="277"/>
      <c r="D34" s="283"/>
      <c r="E34" s="284"/>
      <c r="F34" s="256"/>
      <c r="G34" s="285"/>
      <c r="H34" s="286"/>
      <c r="I34" s="287"/>
      <c r="J34" s="288"/>
    </row>
    <row r="35" spans="1:15" s="265" customFormat="1" ht="15.75" customHeight="1" thickBot="1">
      <c r="F35" s="1021" t="s">
        <v>43</v>
      </c>
      <c r="G35" s="1195"/>
      <c r="H35" s="1023" t="s">
        <v>44</v>
      </c>
      <c r="I35" s="1024"/>
      <c r="J35" s="1024"/>
      <c r="K35" s="1024"/>
      <c r="L35" s="1024"/>
      <c r="M35" s="1024"/>
      <c r="N35" s="1024"/>
      <c r="O35" s="1198"/>
    </row>
    <row r="36" spans="1:15" s="291" customFormat="1" ht="57.75" customHeight="1" thickBot="1">
      <c r="A36" s="289" t="s">
        <v>45</v>
      </c>
      <c r="B36" s="289" t="s">
        <v>46</v>
      </c>
      <c r="C36" s="290" t="s">
        <v>47</v>
      </c>
      <c r="D36" s="290" t="s">
        <v>48</v>
      </c>
      <c r="E36" s="290" t="s">
        <v>49</v>
      </c>
      <c r="F36" s="290" t="s">
        <v>50</v>
      </c>
      <c r="G36" s="289" t="s">
        <v>51</v>
      </c>
      <c r="H36" s="290" t="s">
        <v>52</v>
      </c>
      <c r="I36" s="289" t="s">
        <v>51</v>
      </c>
      <c r="J36" s="290" t="s">
        <v>53</v>
      </c>
      <c r="K36" s="289" t="s">
        <v>51</v>
      </c>
      <c r="L36" s="290" t="s">
        <v>54</v>
      </c>
      <c r="M36" s="289" t="s">
        <v>51</v>
      </c>
      <c r="N36" s="290" t="s">
        <v>55</v>
      </c>
      <c r="O36" s="289" t="s">
        <v>51</v>
      </c>
    </row>
    <row r="37" spans="1:15" s="296" customFormat="1" ht="26.25" thickBot="1">
      <c r="A37" s="1014">
        <v>15</v>
      </c>
      <c r="B37" s="1190"/>
      <c r="C37" s="341" t="s">
        <v>450</v>
      </c>
      <c r="D37" s="342" t="s">
        <v>451</v>
      </c>
      <c r="E37" s="963">
        <v>40870.79</v>
      </c>
      <c r="F37" s="293">
        <f>SUM(E37:E39)*(1-82%)</f>
        <v>7454.1222000000025</v>
      </c>
      <c r="G37" s="1026">
        <f>F37*B37</f>
        <v>0</v>
      </c>
      <c r="H37" s="294">
        <f>F37*0.0845</f>
        <v>629.87332590000028</v>
      </c>
      <c r="I37" s="1026">
        <f>H37*B37</f>
        <v>0</v>
      </c>
      <c r="J37" s="294">
        <f>F37*0.032</f>
        <v>238.53191040000007</v>
      </c>
      <c r="K37" s="1026">
        <f>J37*B37</f>
        <v>0</v>
      </c>
      <c r="L37" s="295">
        <f>F37*0.0263</f>
        <v>196.04341386000007</v>
      </c>
      <c r="M37" s="1026">
        <f>L37*B37</f>
        <v>0</v>
      </c>
      <c r="N37" s="295">
        <f>F37*0.0219</f>
        <v>163.24527618000005</v>
      </c>
      <c r="O37" s="1026">
        <f>N37*B37</f>
        <v>0</v>
      </c>
    </row>
    <row r="38" spans="1:15" s="302" customFormat="1" ht="13.5" thickBot="1">
      <c r="A38" s="1015"/>
      <c r="B38" s="1193"/>
      <c r="C38" s="297" t="s">
        <v>307</v>
      </c>
      <c r="D38" s="298" t="s">
        <v>240</v>
      </c>
      <c r="E38" s="299">
        <v>282</v>
      </c>
      <c r="F38" s="736" t="s">
        <v>35</v>
      </c>
      <c r="G38" s="1192"/>
      <c r="H38" s="300" t="s">
        <v>35</v>
      </c>
      <c r="I38" s="1192"/>
      <c r="J38" s="300" t="s">
        <v>35</v>
      </c>
      <c r="K38" s="1192"/>
      <c r="L38" s="301" t="s">
        <v>35</v>
      </c>
      <c r="M38" s="1192"/>
      <c r="N38" s="301" t="s">
        <v>35</v>
      </c>
      <c r="O38" s="1192"/>
    </row>
    <row r="39" spans="1:15" s="302" customFormat="1" ht="13.5" thickBot="1">
      <c r="A39" s="1016"/>
      <c r="B39" s="1194"/>
      <c r="C39" s="303" t="s">
        <v>56</v>
      </c>
      <c r="D39" s="304" t="s">
        <v>424</v>
      </c>
      <c r="E39" s="305">
        <v>259</v>
      </c>
      <c r="F39" s="737" t="s">
        <v>35</v>
      </c>
      <c r="G39" s="1018"/>
      <c r="H39" s="306" t="s">
        <v>35</v>
      </c>
      <c r="I39" s="1018"/>
      <c r="J39" s="306" t="s">
        <v>35</v>
      </c>
      <c r="K39" s="1018"/>
      <c r="L39" s="301" t="e">
        <f>F39*0.0263</f>
        <v>#VALUE!</v>
      </c>
      <c r="M39" s="1018"/>
      <c r="N39" s="301" t="s">
        <v>35</v>
      </c>
      <c r="O39" s="1018"/>
    </row>
    <row r="40" spans="1:15" s="302" customFormat="1" ht="13.5" thickBot="1">
      <c r="A40" s="307"/>
      <c r="B40" s="308"/>
      <c r="C40" s="309"/>
      <c r="D40" s="310"/>
      <c r="E40" s="311"/>
      <c r="F40" s="738"/>
      <c r="G40" s="308"/>
      <c r="H40" s="312"/>
      <c r="I40" s="308"/>
      <c r="J40" s="312"/>
      <c r="K40" s="313"/>
      <c r="L40" s="314"/>
      <c r="M40" s="308"/>
      <c r="N40" s="314"/>
      <c r="O40" s="313"/>
    </row>
    <row r="41" spans="1:15" s="296" customFormat="1" ht="26.25" thickBot="1">
      <c r="A41" s="1014" t="s">
        <v>425</v>
      </c>
      <c r="B41" s="1190"/>
      <c r="C41" s="341" t="s">
        <v>450</v>
      </c>
      <c r="D41" s="342" t="s">
        <v>451</v>
      </c>
      <c r="E41" s="292">
        <v>40870.79</v>
      </c>
      <c r="F41" s="739">
        <f>SUM(E41:E43)*(1-82%)</f>
        <v>7454.1222000000025</v>
      </c>
      <c r="G41" s="1011">
        <f>F41*B41</f>
        <v>0</v>
      </c>
      <c r="H41" s="29">
        <f>F41*0.0845+I29/12</f>
        <v>701.20665923333365</v>
      </c>
      <c r="I41" s="1011">
        <f>H41*B41</f>
        <v>0</v>
      </c>
      <c r="J41" s="29">
        <f>F41*0.032+I29/12</f>
        <v>309.86524373333339</v>
      </c>
      <c r="K41" s="1011">
        <f>J41*B41</f>
        <v>0</v>
      </c>
      <c r="L41" s="30">
        <f>F41*0.0263+I29/12</f>
        <v>267.37674719333341</v>
      </c>
      <c r="M41" s="1011">
        <f>L41*B41</f>
        <v>0</v>
      </c>
      <c r="N41" s="30">
        <f>F41*0.0219+I29/12</f>
        <v>234.57860951333339</v>
      </c>
      <c r="O41" s="1011">
        <f>N41*B41</f>
        <v>0</v>
      </c>
    </row>
    <row r="42" spans="1:15" s="302" customFormat="1" ht="13.5" thickBot="1">
      <c r="A42" s="1015"/>
      <c r="B42" s="1193"/>
      <c r="C42" s="297" t="s">
        <v>307</v>
      </c>
      <c r="D42" s="298" t="s">
        <v>240</v>
      </c>
      <c r="E42" s="299">
        <v>282</v>
      </c>
      <c r="F42" s="736" t="s">
        <v>35</v>
      </c>
      <c r="G42" s="1012"/>
      <c r="H42" s="31" t="s">
        <v>35</v>
      </c>
      <c r="I42" s="1012"/>
      <c r="J42" s="31" t="s">
        <v>35</v>
      </c>
      <c r="K42" s="1012"/>
      <c r="L42" s="32" t="s">
        <v>35</v>
      </c>
      <c r="M42" s="1012"/>
      <c r="N42" s="32" t="s">
        <v>35</v>
      </c>
      <c r="O42" s="1012"/>
    </row>
    <row r="43" spans="1:15" s="302" customFormat="1" ht="13.5" thickBot="1">
      <c r="A43" s="1016"/>
      <c r="B43" s="1194"/>
      <c r="C43" s="303" t="s">
        <v>56</v>
      </c>
      <c r="D43" s="304" t="s">
        <v>424</v>
      </c>
      <c r="E43" s="305">
        <v>259</v>
      </c>
      <c r="F43" s="737" t="s">
        <v>35</v>
      </c>
      <c r="G43" s="1013"/>
      <c r="H43" s="300" t="s">
        <v>35</v>
      </c>
      <c r="I43" s="1013"/>
      <c r="J43" s="300" t="s">
        <v>35</v>
      </c>
      <c r="K43" s="1013"/>
      <c r="L43" s="301" t="s">
        <v>35</v>
      </c>
      <c r="M43" s="1013"/>
      <c r="N43" s="301" t="s">
        <v>35</v>
      </c>
      <c r="O43" s="1013"/>
    </row>
    <row r="44" spans="1:15" s="302" customFormat="1" ht="13.5" thickBot="1">
      <c r="A44" s="307"/>
      <c r="B44" s="308"/>
      <c r="C44" s="309"/>
      <c r="D44" s="310"/>
      <c r="E44" s="311"/>
      <c r="F44" s="740"/>
      <c r="G44" s="34"/>
      <c r="H44" s="33"/>
      <c r="I44" s="34"/>
      <c r="J44" s="33"/>
      <c r="K44" s="35"/>
      <c r="L44" s="36"/>
      <c r="M44" s="34"/>
      <c r="N44" s="36"/>
      <c r="O44" s="35"/>
    </row>
    <row r="45" spans="1:15" s="296" customFormat="1" ht="26.25" thickBot="1">
      <c r="A45" s="1014" t="s">
        <v>426</v>
      </c>
      <c r="B45" s="1190"/>
      <c r="C45" s="341" t="s">
        <v>450</v>
      </c>
      <c r="D45" s="342" t="s">
        <v>451</v>
      </c>
      <c r="E45" s="292">
        <v>40870.79</v>
      </c>
      <c r="F45" s="735">
        <f>SUM(E45:E47)*(1-82%)</f>
        <v>7454.1222000000025</v>
      </c>
      <c r="G45" s="1011">
        <f>F45*B45</f>
        <v>0</v>
      </c>
      <c r="H45" s="29">
        <f>F45*0.0845+N29/12</f>
        <v>723.78999256666691</v>
      </c>
      <c r="I45" s="1011">
        <f>H45*B45</f>
        <v>0</v>
      </c>
      <c r="J45" s="29">
        <f>F45*0.032+N29/12</f>
        <v>332.44857706666676</v>
      </c>
      <c r="K45" s="1011">
        <f>J45*B45</f>
        <v>0</v>
      </c>
      <c r="L45" s="30">
        <f>F45*0.0263+N29/12</f>
        <v>289.96008052666673</v>
      </c>
      <c r="M45" s="1011">
        <f>L45*B45</f>
        <v>0</v>
      </c>
      <c r="N45" s="30">
        <f>F45*0.0219+N29/12</f>
        <v>257.1619428466667</v>
      </c>
      <c r="O45" s="1011">
        <f>N45*B45</f>
        <v>0</v>
      </c>
    </row>
    <row r="46" spans="1:15" s="302" customFormat="1" ht="13.5" thickBot="1">
      <c r="A46" s="1015"/>
      <c r="B46" s="1193"/>
      <c r="C46" s="297" t="s">
        <v>307</v>
      </c>
      <c r="D46" s="298" t="s">
        <v>240</v>
      </c>
      <c r="E46" s="299">
        <v>282</v>
      </c>
      <c r="F46" s="736" t="s">
        <v>35</v>
      </c>
      <c r="G46" s="1012"/>
      <c r="H46" s="300" t="s">
        <v>35</v>
      </c>
      <c r="I46" s="1012"/>
      <c r="J46" s="300" t="s">
        <v>35</v>
      </c>
      <c r="K46" s="1012"/>
      <c r="L46" s="301" t="s">
        <v>35</v>
      </c>
      <c r="M46" s="1012"/>
      <c r="N46" s="301" t="s">
        <v>35</v>
      </c>
      <c r="O46" s="1012"/>
    </row>
    <row r="47" spans="1:15" s="302" customFormat="1" ht="13.5" thickBot="1">
      <c r="A47" s="1016"/>
      <c r="B47" s="1194"/>
      <c r="C47" s="303" t="s">
        <v>56</v>
      </c>
      <c r="D47" s="304" t="s">
        <v>424</v>
      </c>
      <c r="E47" s="305">
        <v>259</v>
      </c>
      <c r="F47" s="37" t="s">
        <v>35</v>
      </c>
      <c r="G47" s="1013"/>
      <c r="H47" s="31" t="s">
        <v>35</v>
      </c>
      <c r="I47" s="1013"/>
      <c r="J47" s="31" t="s">
        <v>35</v>
      </c>
      <c r="K47" s="1013"/>
      <c r="L47" s="32" t="s">
        <v>35</v>
      </c>
      <c r="M47" s="1013"/>
      <c r="N47" s="32" t="s">
        <v>35</v>
      </c>
      <c r="O47" s="1013"/>
    </row>
    <row r="48" spans="1:15" s="315" customFormat="1" ht="13.5" customHeight="1" thickBot="1">
      <c r="A48" s="1129" t="s">
        <v>59</v>
      </c>
      <c r="B48" s="1196"/>
      <c r="C48" s="1196"/>
      <c r="D48" s="1196"/>
      <c r="E48" s="1196"/>
      <c r="F48" s="1196"/>
      <c r="G48" s="1196"/>
      <c r="H48" s="1196"/>
      <c r="I48" s="1196"/>
      <c r="J48" s="1196"/>
      <c r="K48" s="1196"/>
      <c r="L48" s="1196"/>
      <c r="M48" s="1196"/>
      <c r="N48" s="1196"/>
      <c r="O48" s="1197"/>
    </row>
    <row r="49" spans="1:16" s="302" customFormat="1" ht="13.5" thickBot="1">
      <c r="A49" s="1125"/>
      <c r="B49" s="318"/>
      <c r="C49" s="474" t="s">
        <v>103</v>
      </c>
      <c r="D49" s="334" t="s">
        <v>104</v>
      </c>
      <c r="E49" s="335">
        <v>129.99</v>
      </c>
      <c r="F49" s="320">
        <f t="shared" ref="F49:F104" si="0">E49*(1-40%)</f>
        <v>77.994</v>
      </c>
      <c r="G49" s="343">
        <f t="shared" ref="G49:G104" si="1">F49*B49</f>
        <v>0</v>
      </c>
      <c r="H49" s="321">
        <f t="shared" ref="H49:H78" si="2">F49*0.0845</f>
        <v>6.5904930000000004</v>
      </c>
      <c r="I49" s="321">
        <f t="shared" ref="I49:I104" si="3">H49*B49</f>
        <v>0</v>
      </c>
      <c r="J49" s="321">
        <f t="shared" ref="J49:J78" si="4">F49*0.032</f>
        <v>2.4958080000000002</v>
      </c>
      <c r="K49" s="321">
        <f t="shared" ref="K49:K104" si="5">J49*B49</f>
        <v>0</v>
      </c>
      <c r="L49" s="321">
        <f t="shared" ref="L49:L78" si="6">F49*0.0263</f>
        <v>2.0512421999999999</v>
      </c>
      <c r="M49" s="321">
        <f t="shared" ref="M49:M104" si="7">L49*B49</f>
        <v>0</v>
      </c>
      <c r="N49" s="321">
        <f t="shared" ref="N49:N78" si="8">F49*0.0219</f>
        <v>1.7080686</v>
      </c>
      <c r="O49" s="321">
        <f t="shared" ref="O49:O104" si="9">N49*B49</f>
        <v>0</v>
      </c>
      <c r="P49" s="526"/>
    </row>
    <row r="50" spans="1:16" s="302" customFormat="1" ht="26.25" thickBot="1">
      <c r="A50" s="1086"/>
      <c r="B50" s="319"/>
      <c r="C50" s="340" t="s">
        <v>105</v>
      </c>
      <c r="D50" s="337" t="s">
        <v>325</v>
      </c>
      <c r="E50" s="338">
        <v>399</v>
      </c>
      <c r="F50" s="320">
        <f t="shared" si="0"/>
        <v>239.39999999999998</v>
      </c>
      <c r="G50" s="322">
        <f t="shared" si="1"/>
        <v>0</v>
      </c>
      <c r="H50" s="321">
        <f t="shared" si="2"/>
        <v>20.229299999999999</v>
      </c>
      <c r="I50" s="321">
        <f t="shared" si="3"/>
        <v>0</v>
      </c>
      <c r="J50" s="321">
        <f t="shared" si="4"/>
        <v>7.6607999999999992</v>
      </c>
      <c r="K50" s="321">
        <f t="shared" si="5"/>
        <v>0</v>
      </c>
      <c r="L50" s="321">
        <f t="shared" si="6"/>
        <v>6.2962199999999999</v>
      </c>
      <c r="M50" s="321">
        <f t="shared" si="7"/>
        <v>0</v>
      </c>
      <c r="N50" s="321">
        <f t="shared" si="8"/>
        <v>5.2428599999999994</v>
      </c>
      <c r="O50" s="321">
        <f t="shared" si="9"/>
        <v>0</v>
      </c>
      <c r="P50" s="526"/>
    </row>
    <row r="51" spans="1:16" s="315" customFormat="1" ht="13.5" thickBot="1">
      <c r="A51" s="1086"/>
      <c r="B51" s="317"/>
      <c r="C51" s="336" t="s">
        <v>107</v>
      </c>
      <c r="D51" s="337" t="s">
        <v>108</v>
      </c>
      <c r="E51" s="338">
        <v>250</v>
      </c>
      <c r="F51" s="320">
        <f t="shared" si="0"/>
        <v>150</v>
      </c>
      <c r="G51" s="322">
        <f t="shared" si="1"/>
        <v>0</v>
      </c>
      <c r="H51" s="321">
        <f t="shared" si="2"/>
        <v>12.675000000000001</v>
      </c>
      <c r="I51" s="321">
        <f t="shared" si="3"/>
        <v>0</v>
      </c>
      <c r="J51" s="321">
        <f t="shared" si="4"/>
        <v>4.8</v>
      </c>
      <c r="K51" s="321">
        <f t="shared" si="5"/>
        <v>0</v>
      </c>
      <c r="L51" s="321">
        <f t="shared" si="6"/>
        <v>3.9450000000000003</v>
      </c>
      <c r="M51" s="321">
        <f t="shared" si="7"/>
        <v>0</v>
      </c>
      <c r="N51" s="321">
        <f t="shared" si="8"/>
        <v>3.2849999999999997</v>
      </c>
      <c r="O51" s="321">
        <f t="shared" si="9"/>
        <v>0</v>
      </c>
      <c r="P51" s="526"/>
    </row>
    <row r="52" spans="1:16" s="315" customFormat="1" ht="13.5" thickBot="1">
      <c r="A52" s="1086"/>
      <c r="B52" s="318"/>
      <c r="C52" s="336" t="s">
        <v>109</v>
      </c>
      <c r="D52" s="337" t="s">
        <v>110</v>
      </c>
      <c r="E52" s="338">
        <v>400</v>
      </c>
      <c r="F52" s="320">
        <f t="shared" si="0"/>
        <v>240</v>
      </c>
      <c r="G52" s="322">
        <f t="shared" si="1"/>
        <v>0</v>
      </c>
      <c r="H52" s="321">
        <f t="shared" si="2"/>
        <v>20.28</v>
      </c>
      <c r="I52" s="321">
        <f t="shared" si="3"/>
        <v>0</v>
      </c>
      <c r="J52" s="321">
        <f t="shared" si="4"/>
        <v>7.68</v>
      </c>
      <c r="K52" s="321">
        <f t="shared" si="5"/>
        <v>0</v>
      </c>
      <c r="L52" s="321">
        <f t="shared" si="6"/>
        <v>6.3120000000000003</v>
      </c>
      <c r="M52" s="321">
        <f t="shared" si="7"/>
        <v>0</v>
      </c>
      <c r="N52" s="321">
        <f t="shared" si="8"/>
        <v>5.2560000000000002</v>
      </c>
      <c r="O52" s="321">
        <f t="shared" si="9"/>
        <v>0</v>
      </c>
      <c r="P52" s="526"/>
    </row>
    <row r="53" spans="1:16" s="315" customFormat="1" ht="13.5" thickBot="1">
      <c r="A53" s="1086"/>
      <c r="B53" s="318"/>
      <c r="C53" s="475" t="s">
        <v>111</v>
      </c>
      <c r="D53" s="477" t="s">
        <v>112</v>
      </c>
      <c r="E53" s="479">
        <v>499</v>
      </c>
      <c r="F53" s="320">
        <f t="shared" si="0"/>
        <v>299.39999999999998</v>
      </c>
      <c r="G53" s="322">
        <f t="shared" si="1"/>
        <v>0</v>
      </c>
      <c r="H53" s="321">
        <f t="shared" si="2"/>
        <v>25.299299999999999</v>
      </c>
      <c r="I53" s="343">
        <f t="shared" si="3"/>
        <v>0</v>
      </c>
      <c r="J53" s="321">
        <f t="shared" si="4"/>
        <v>9.5808</v>
      </c>
      <c r="K53" s="343">
        <f t="shared" si="5"/>
        <v>0</v>
      </c>
      <c r="L53" s="321">
        <f t="shared" si="6"/>
        <v>7.8742199999999993</v>
      </c>
      <c r="M53" s="343">
        <f t="shared" si="7"/>
        <v>0</v>
      </c>
      <c r="N53" s="321">
        <f t="shared" si="8"/>
        <v>6.5568599999999995</v>
      </c>
      <c r="O53" s="343">
        <f t="shared" si="9"/>
        <v>0</v>
      </c>
      <c r="P53" s="526"/>
    </row>
    <row r="54" spans="1:16" s="315" customFormat="1" ht="13.5" thickBot="1">
      <c r="A54" s="1086"/>
      <c r="B54" s="317"/>
      <c r="C54" s="336" t="s">
        <v>77</v>
      </c>
      <c r="D54" s="337" t="s">
        <v>169</v>
      </c>
      <c r="E54" s="338">
        <v>329</v>
      </c>
      <c r="F54" s="320">
        <f t="shared" si="0"/>
        <v>197.4</v>
      </c>
      <c r="G54" s="322">
        <f t="shared" si="1"/>
        <v>0</v>
      </c>
      <c r="H54" s="321">
        <f t="shared" si="2"/>
        <v>16.680300000000003</v>
      </c>
      <c r="I54" s="321">
        <f t="shared" si="3"/>
        <v>0</v>
      </c>
      <c r="J54" s="321">
        <f t="shared" si="4"/>
        <v>6.3168000000000006</v>
      </c>
      <c r="K54" s="321">
        <f t="shared" si="5"/>
        <v>0</v>
      </c>
      <c r="L54" s="321">
        <f t="shared" si="6"/>
        <v>5.1916200000000003</v>
      </c>
      <c r="M54" s="321">
        <f t="shared" si="7"/>
        <v>0</v>
      </c>
      <c r="N54" s="321">
        <f t="shared" si="8"/>
        <v>4.3230599999999999</v>
      </c>
      <c r="O54" s="321">
        <f t="shared" si="9"/>
        <v>0</v>
      </c>
      <c r="P54" s="526"/>
    </row>
    <row r="55" spans="1:16" s="315" customFormat="1" ht="13.5" thickBot="1">
      <c r="A55" s="1086"/>
      <c r="B55" s="318"/>
      <c r="C55" s="336" t="s">
        <v>292</v>
      </c>
      <c r="D55" s="337" t="s">
        <v>427</v>
      </c>
      <c r="E55" s="338">
        <v>1044.75</v>
      </c>
      <c r="F55" s="320">
        <f t="shared" si="0"/>
        <v>626.85</v>
      </c>
      <c r="G55" s="322">
        <f t="shared" si="1"/>
        <v>0</v>
      </c>
      <c r="H55" s="321">
        <f t="shared" si="2"/>
        <v>52.968825000000002</v>
      </c>
      <c r="I55" s="321">
        <f t="shared" si="3"/>
        <v>0</v>
      </c>
      <c r="J55" s="321">
        <f t="shared" si="4"/>
        <v>20.059200000000001</v>
      </c>
      <c r="K55" s="321">
        <f t="shared" si="5"/>
        <v>0</v>
      </c>
      <c r="L55" s="321">
        <f t="shared" si="6"/>
        <v>16.486155</v>
      </c>
      <c r="M55" s="321">
        <f t="shared" si="7"/>
        <v>0</v>
      </c>
      <c r="N55" s="321">
        <f t="shared" si="8"/>
        <v>13.728014999999999</v>
      </c>
      <c r="O55" s="321">
        <f t="shared" si="9"/>
        <v>0</v>
      </c>
      <c r="P55" s="526"/>
    </row>
    <row r="56" spans="1:16" s="315" customFormat="1" ht="13.5" thickBot="1">
      <c r="A56" s="1086"/>
      <c r="B56" s="318"/>
      <c r="C56" s="336" t="s">
        <v>293</v>
      </c>
      <c r="D56" s="337" t="s">
        <v>3927</v>
      </c>
      <c r="E56" s="338">
        <v>1044.75</v>
      </c>
      <c r="F56" s="320">
        <f t="shared" si="0"/>
        <v>626.85</v>
      </c>
      <c r="G56" s="322">
        <f t="shared" si="1"/>
        <v>0</v>
      </c>
      <c r="H56" s="321">
        <f t="shared" si="2"/>
        <v>52.968825000000002</v>
      </c>
      <c r="I56" s="321">
        <f t="shared" si="3"/>
        <v>0</v>
      </c>
      <c r="J56" s="321">
        <f t="shared" si="4"/>
        <v>20.059200000000001</v>
      </c>
      <c r="K56" s="321">
        <f t="shared" si="5"/>
        <v>0</v>
      </c>
      <c r="L56" s="321">
        <f t="shared" si="6"/>
        <v>16.486155</v>
      </c>
      <c r="M56" s="321">
        <f t="shared" si="7"/>
        <v>0</v>
      </c>
      <c r="N56" s="321">
        <f t="shared" si="8"/>
        <v>13.728014999999999</v>
      </c>
      <c r="O56" s="321">
        <f t="shared" si="9"/>
        <v>0</v>
      </c>
      <c r="P56" s="526"/>
    </row>
    <row r="57" spans="1:16" s="315" customFormat="1" ht="13.5" thickBot="1">
      <c r="A57" s="1086"/>
      <c r="B57" s="319"/>
      <c r="C57" s="336" t="s">
        <v>294</v>
      </c>
      <c r="D57" s="337" t="s">
        <v>428</v>
      </c>
      <c r="E57" s="338">
        <v>5676.3</v>
      </c>
      <c r="F57" s="320">
        <f t="shared" si="0"/>
        <v>3405.78</v>
      </c>
      <c r="G57" s="322">
        <f t="shared" si="1"/>
        <v>0</v>
      </c>
      <c r="H57" s="321">
        <f t="shared" si="2"/>
        <v>287.78841000000006</v>
      </c>
      <c r="I57" s="321">
        <f t="shared" si="3"/>
        <v>0</v>
      </c>
      <c r="J57" s="321">
        <f t="shared" si="4"/>
        <v>108.98496000000002</v>
      </c>
      <c r="K57" s="321">
        <f t="shared" si="5"/>
        <v>0</v>
      </c>
      <c r="L57" s="321">
        <f t="shared" si="6"/>
        <v>89.57201400000001</v>
      </c>
      <c r="M57" s="321">
        <f t="shared" si="7"/>
        <v>0</v>
      </c>
      <c r="N57" s="321">
        <f t="shared" si="8"/>
        <v>74.586582000000007</v>
      </c>
      <c r="O57" s="321">
        <f t="shared" si="9"/>
        <v>0</v>
      </c>
      <c r="P57" s="526"/>
    </row>
    <row r="58" spans="1:16" s="315" customFormat="1" ht="13.5" thickBot="1">
      <c r="A58" s="1086"/>
      <c r="B58" s="316"/>
      <c r="C58" s="336" t="s">
        <v>241</v>
      </c>
      <c r="D58" s="337" t="s">
        <v>3853</v>
      </c>
      <c r="E58" s="338">
        <v>235.4</v>
      </c>
      <c r="F58" s="320">
        <f t="shared" si="0"/>
        <v>141.24</v>
      </c>
      <c r="G58" s="322">
        <f t="shared" si="1"/>
        <v>0</v>
      </c>
      <c r="H58" s="321">
        <f t="shared" si="2"/>
        <v>11.934780000000002</v>
      </c>
      <c r="I58" s="321">
        <f t="shared" si="3"/>
        <v>0</v>
      </c>
      <c r="J58" s="321">
        <f t="shared" si="4"/>
        <v>4.5196800000000001</v>
      </c>
      <c r="K58" s="321">
        <f t="shared" si="5"/>
        <v>0</v>
      </c>
      <c r="L58" s="321">
        <f t="shared" si="6"/>
        <v>3.7146120000000002</v>
      </c>
      <c r="M58" s="321">
        <f t="shared" si="7"/>
        <v>0</v>
      </c>
      <c r="N58" s="321">
        <f t="shared" si="8"/>
        <v>3.093156</v>
      </c>
      <c r="O58" s="321">
        <f t="shared" si="9"/>
        <v>0</v>
      </c>
      <c r="P58" s="526"/>
    </row>
    <row r="59" spans="1:16" s="315" customFormat="1" ht="13.5" thickBot="1">
      <c r="A59" s="1086"/>
      <c r="B59" s="323"/>
      <c r="C59" s="336" t="s">
        <v>242</v>
      </c>
      <c r="D59" s="337" t="s">
        <v>3854</v>
      </c>
      <c r="E59" s="338">
        <v>328.49</v>
      </c>
      <c r="F59" s="320">
        <f t="shared" si="0"/>
        <v>197.09399999999999</v>
      </c>
      <c r="G59" s="322">
        <f t="shared" si="1"/>
        <v>0</v>
      </c>
      <c r="H59" s="321">
        <f t="shared" si="2"/>
        <v>16.654443000000001</v>
      </c>
      <c r="I59" s="321">
        <f t="shared" si="3"/>
        <v>0</v>
      </c>
      <c r="J59" s="321">
        <f t="shared" si="4"/>
        <v>6.3070079999999997</v>
      </c>
      <c r="K59" s="321">
        <f t="shared" si="5"/>
        <v>0</v>
      </c>
      <c r="L59" s="321">
        <f t="shared" si="6"/>
        <v>5.1835721999999995</v>
      </c>
      <c r="M59" s="321">
        <f t="shared" si="7"/>
        <v>0</v>
      </c>
      <c r="N59" s="321">
        <f t="shared" si="8"/>
        <v>4.3163586</v>
      </c>
      <c r="O59" s="321">
        <f t="shared" si="9"/>
        <v>0</v>
      </c>
      <c r="P59" s="526"/>
    </row>
    <row r="60" spans="1:16" s="315" customFormat="1" ht="13.5" thickBot="1">
      <c r="A60" s="1086"/>
      <c r="B60" s="316"/>
      <c r="C60" s="336" t="s">
        <v>117</v>
      </c>
      <c r="D60" s="337" t="s">
        <v>118</v>
      </c>
      <c r="E60" s="338">
        <v>999.38</v>
      </c>
      <c r="F60" s="320">
        <f t="shared" si="0"/>
        <v>599.62799999999993</v>
      </c>
      <c r="G60" s="322">
        <f t="shared" si="1"/>
        <v>0</v>
      </c>
      <c r="H60" s="321">
        <f t="shared" si="2"/>
        <v>50.668565999999998</v>
      </c>
      <c r="I60" s="321">
        <f t="shared" si="3"/>
        <v>0</v>
      </c>
      <c r="J60" s="321">
        <f t="shared" si="4"/>
        <v>19.188095999999998</v>
      </c>
      <c r="K60" s="321">
        <f t="shared" si="5"/>
        <v>0</v>
      </c>
      <c r="L60" s="321">
        <f t="shared" si="6"/>
        <v>15.770216399999999</v>
      </c>
      <c r="M60" s="321">
        <f t="shared" si="7"/>
        <v>0</v>
      </c>
      <c r="N60" s="321">
        <f t="shared" si="8"/>
        <v>13.131853199999998</v>
      </c>
      <c r="O60" s="321">
        <f t="shared" si="9"/>
        <v>0</v>
      </c>
      <c r="P60" s="526"/>
    </row>
    <row r="61" spans="1:16" s="315" customFormat="1" ht="13.5" thickBot="1">
      <c r="A61" s="1086"/>
      <c r="B61" s="325"/>
      <c r="C61" s="340" t="s">
        <v>119</v>
      </c>
      <c r="D61" s="337" t="s">
        <v>120</v>
      </c>
      <c r="E61" s="338">
        <v>222.6</v>
      </c>
      <c r="F61" s="320">
        <f t="shared" si="0"/>
        <v>133.56</v>
      </c>
      <c r="G61" s="322">
        <f t="shared" si="1"/>
        <v>0</v>
      </c>
      <c r="H61" s="321">
        <f t="shared" si="2"/>
        <v>11.285820000000001</v>
      </c>
      <c r="I61" s="321">
        <f t="shared" si="3"/>
        <v>0</v>
      </c>
      <c r="J61" s="321">
        <f t="shared" si="4"/>
        <v>4.2739200000000004</v>
      </c>
      <c r="K61" s="321">
        <f t="shared" si="5"/>
        <v>0</v>
      </c>
      <c r="L61" s="321">
        <f t="shared" si="6"/>
        <v>3.5126280000000003</v>
      </c>
      <c r="M61" s="321">
        <f t="shared" si="7"/>
        <v>0</v>
      </c>
      <c r="N61" s="321">
        <f t="shared" si="8"/>
        <v>2.9249640000000001</v>
      </c>
      <c r="O61" s="321">
        <f t="shared" si="9"/>
        <v>0</v>
      </c>
      <c r="P61" s="526"/>
    </row>
    <row r="62" spans="1:16" s="315" customFormat="1" ht="13.5" thickBot="1">
      <c r="A62" s="1086"/>
      <c r="B62" s="316"/>
      <c r="C62" s="339">
        <v>45111136</v>
      </c>
      <c r="D62" s="337" t="s">
        <v>3928</v>
      </c>
      <c r="E62" s="338">
        <v>1100</v>
      </c>
      <c r="F62" s="320">
        <f t="shared" si="0"/>
        <v>660</v>
      </c>
      <c r="G62" s="322">
        <f t="shared" si="1"/>
        <v>0</v>
      </c>
      <c r="H62" s="321">
        <f t="shared" si="2"/>
        <v>55.77</v>
      </c>
      <c r="I62" s="321">
        <f t="shared" si="3"/>
        <v>0</v>
      </c>
      <c r="J62" s="321">
        <f t="shared" si="4"/>
        <v>21.12</v>
      </c>
      <c r="K62" s="321">
        <f t="shared" si="5"/>
        <v>0</v>
      </c>
      <c r="L62" s="321">
        <f t="shared" si="6"/>
        <v>17.358000000000001</v>
      </c>
      <c r="M62" s="321">
        <f t="shared" si="7"/>
        <v>0</v>
      </c>
      <c r="N62" s="321">
        <f t="shared" si="8"/>
        <v>14.453999999999999</v>
      </c>
      <c r="O62" s="321">
        <f t="shared" si="9"/>
        <v>0</v>
      </c>
      <c r="P62" s="526"/>
    </row>
    <row r="63" spans="1:16" s="315" customFormat="1" ht="26.25" thickBot="1">
      <c r="A63" s="1086"/>
      <c r="B63" s="319"/>
      <c r="C63" s="339" t="s">
        <v>244</v>
      </c>
      <c r="D63" s="337" t="s">
        <v>3855</v>
      </c>
      <c r="E63" s="338">
        <v>1399.56</v>
      </c>
      <c r="F63" s="320">
        <f t="shared" si="0"/>
        <v>839.73599999999999</v>
      </c>
      <c r="G63" s="322">
        <f t="shared" si="1"/>
        <v>0</v>
      </c>
      <c r="H63" s="321">
        <f t="shared" si="2"/>
        <v>70.957692000000009</v>
      </c>
      <c r="I63" s="321">
        <f t="shared" si="3"/>
        <v>0</v>
      </c>
      <c r="J63" s="321">
        <f t="shared" si="4"/>
        <v>26.871552000000001</v>
      </c>
      <c r="K63" s="321">
        <f t="shared" si="5"/>
        <v>0</v>
      </c>
      <c r="L63" s="321">
        <f t="shared" si="6"/>
        <v>22.0850568</v>
      </c>
      <c r="M63" s="321">
        <f t="shared" si="7"/>
        <v>0</v>
      </c>
      <c r="N63" s="321">
        <f t="shared" si="8"/>
        <v>18.390218399999998</v>
      </c>
      <c r="O63" s="321">
        <f t="shared" si="9"/>
        <v>0</v>
      </c>
      <c r="P63" s="526"/>
    </row>
    <row r="64" spans="1:16" s="302" customFormat="1" ht="26.25" thickBot="1">
      <c r="A64" s="1086"/>
      <c r="B64" s="316"/>
      <c r="C64" s="339" t="s">
        <v>3856</v>
      </c>
      <c r="D64" s="337" t="s">
        <v>3857</v>
      </c>
      <c r="E64" s="338">
        <v>1258.32</v>
      </c>
      <c r="F64" s="320">
        <f t="shared" si="0"/>
        <v>754.99199999999996</v>
      </c>
      <c r="G64" s="343">
        <f t="shared" si="1"/>
        <v>0</v>
      </c>
      <c r="H64" s="321">
        <f t="shared" si="2"/>
        <v>63.796824000000001</v>
      </c>
      <c r="I64" s="321">
        <f t="shared" si="3"/>
        <v>0</v>
      </c>
      <c r="J64" s="321">
        <f t="shared" si="4"/>
        <v>24.159744</v>
      </c>
      <c r="K64" s="321">
        <f t="shared" si="5"/>
        <v>0</v>
      </c>
      <c r="L64" s="321">
        <f t="shared" si="6"/>
        <v>19.8562896</v>
      </c>
      <c r="M64" s="321">
        <f t="shared" si="7"/>
        <v>0</v>
      </c>
      <c r="N64" s="321">
        <f t="shared" si="8"/>
        <v>16.5343248</v>
      </c>
      <c r="O64" s="321">
        <f t="shared" si="9"/>
        <v>0</v>
      </c>
      <c r="P64" s="526"/>
    </row>
    <row r="65" spans="1:16" s="302" customFormat="1" ht="26.25" thickBot="1">
      <c r="A65" s="1086"/>
      <c r="B65" s="318"/>
      <c r="C65" s="336" t="s">
        <v>3858</v>
      </c>
      <c r="D65" s="337" t="s">
        <v>3920</v>
      </c>
      <c r="E65" s="338">
        <v>2172.17</v>
      </c>
      <c r="F65" s="320">
        <f t="shared" si="0"/>
        <v>1303.3019999999999</v>
      </c>
      <c r="G65" s="343">
        <f t="shared" si="1"/>
        <v>0</v>
      </c>
      <c r="H65" s="321">
        <f t="shared" si="2"/>
        <v>110.129019</v>
      </c>
      <c r="I65" s="321">
        <f t="shared" si="3"/>
        <v>0</v>
      </c>
      <c r="J65" s="321">
        <f t="shared" si="4"/>
        <v>41.705663999999999</v>
      </c>
      <c r="K65" s="321">
        <f t="shared" si="5"/>
        <v>0</v>
      </c>
      <c r="L65" s="321">
        <f t="shared" si="6"/>
        <v>34.276842599999995</v>
      </c>
      <c r="M65" s="321">
        <f t="shared" si="7"/>
        <v>0</v>
      </c>
      <c r="N65" s="321">
        <f t="shared" si="8"/>
        <v>28.542313799999999</v>
      </c>
      <c r="O65" s="321">
        <f t="shared" si="9"/>
        <v>0</v>
      </c>
      <c r="P65" s="526"/>
    </row>
    <row r="66" spans="1:16" s="302" customFormat="1" ht="26.25" thickBot="1">
      <c r="A66" s="1086"/>
      <c r="B66" s="319"/>
      <c r="C66" s="336" t="s">
        <v>3914</v>
      </c>
      <c r="D66" s="337" t="s">
        <v>3921</v>
      </c>
      <c r="E66" s="338">
        <v>4008.22</v>
      </c>
      <c r="F66" s="320">
        <f t="shared" si="0"/>
        <v>2404.9319999999998</v>
      </c>
      <c r="G66" s="343">
        <f t="shared" si="1"/>
        <v>0</v>
      </c>
      <c r="H66" s="321">
        <f t="shared" si="2"/>
        <v>203.21675400000001</v>
      </c>
      <c r="I66" s="321">
        <f t="shared" si="3"/>
        <v>0</v>
      </c>
      <c r="J66" s="321">
        <f t="shared" si="4"/>
        <v>76.957823999999988</v>
      </c>
      <c r="K66" s="321">
        <f t="shared" si="5"/>
        <v>0</v>
      </c>
      <c r="L66" s="321">
        <f t="shared" si="6"/>
        <v>63.249711599999998</v>
      </c>
      <c r="M66" s="321">
        <f t="shared" si="7"/>
        <v>0</v>
      </c>
      <c r="N66" s="321">
        <f t="shared" si="8"/>
        <v>52.66801079999999</v>
      </c>
      <c r="O66" s="321">
        <f t="shared" si="9"/>
        <v>0</v>
      </c>
      <c r="P66" s="526"/>
    </row>
    <row r="67" spans="1:16" s="302" customFormat="1" ht="26.25" thickBot="1">
      <c r="A67" s="1086"/>
      <c r="B67" s="316"/>
      <c r="C67" s="336" t="s">
        <v>3915</v>
      </c>
      <c r="D67" s="337" t="s">
        <v>3917</v>
      </c>
      <c r="E67" s="338">
        <v>3919.41</v>
      </c>
      <c r="F67" s="38">
        <f t="shared" si="0"/>
        <v>2351.6459999999997</v>
      </c>
      <c r="G67" s="41">
        <f t="shared" si="1"/>
        <v>0</v>
      </c>
      <c r="H67" s="39">
        <f t="shared" si="2"/>
        <v>198.71408699999998</v>
      </c>
      <c r="I67" s="39">
        <f t="shared" si="3"/>
        <v>0</v>
      </c>
      <c r="J67" s="39">
        <f t="shared" si="4"/>
        <v>75.25267199999999</v>
      </c>
      <c r="K67" s="39">
        <f t="shared" si="5"/>
        <v>0</v>
      </c>
      <c r="L67" s="39">
        <f t="shared" si="6"/>
        <v>61.848289799999996</v>
      </c>
      <c r="M67" s="39">
        <f t="shared" si="7"/>
        <v>0</v>
      </c>
      <c r="N67" s="39">
        <f t="shared" si="8"/>
        <v>51.50104739999999</v>
      </c>
      <c r="O67" s="39">
        <f t="shared" si="9"/>
        <v>0</v>
      </c>
      <c r="P67" s="526"/>
    </row>
    <row r="68" spans="1:16" s="302" customFormat="1" ht="26.25" thickBot="1">
      <c r="A68" s="1086"/>
      <c r="B68" s="319"/>
      <c r="C68" s="339" t="s">
        <v>3916</v>
      </c>
      <c r="D68" s="337" t="s">
        <v>3918</v>
      </c>
      <c r="E68" s="338">
        <v>5661.37</v>
      </c>
      <c r="F68" s="320">
        <f t="shared" si="0"/>
        <v>3396.8219999999997</v>
      </c>
      <c r="G68" s="41">
        <f t="shared" si="1"/>
        <v>0</v>
      </c>
      <c r="H68" s="321">
        <f t="shared" si="2"/>
        <v>287.03145899999998</v>
      </c>
      <c r="I68" s="39">
        <f t="shared" si="3"/>
        <v>0</v>
      </c>
      <c r="J68" s="321">
        <f t="shared" si="4"/>
        <v>108.69830399999999</v>
      </c>
      <c r="K68" s="39">
        <f t="shared" si="5"/>
        <v>0</v>
      </c>
      <c r="L68" s="321">
        <f t="shared" si="6"/>
        <v>89.336418599999988</v>
      </c>
      <c r="M68" s="39">
        <f t="shared" si="7"/>
        <v>0</v>
      </c>
      <c r="N68" s="321">
        <f t="shared" si="8"/>
        <v>74.390401799999992</v>
      </c>
      <c r="O68" s="39">
        <f t="shared" si="9"/>
        <v>0</v>
      </c>
      <c r="P68" s="526"/>
    </row>
    <row r="69" spans="1:16" s="302" customFormat="1" ht="13.5" thickBot="1">
      <c r="A69" s="1086"/>
      <c r="B69" s="319"/>
      <c r="C69" s="336" t="s">
        <v>3861</v>
      </c>
      <c r="D69" s="337" t="s">
        <v>4045</v>
      </c>
      <c r="E69" s="338">
        <v>1828.63</v>
      </c>
      <c r="F69" s="320">
        <f t="shared" si="0"/>
        <v>1097.1780000000001</v>
      </c>
      <c r="G69" s="322">
        <f t="shared" si="1"/>
        <v>0</v>
      </c>
      <c r="H69" s="321">
        <f t="shared" si="2"/>
        <v>92.711541000000011</v>
      </c>
      <c r="I69" s="321">
        <f t="shared" si="3"/>
        <v>0</v>
      </c>
      <c r="J69" s="321">
        <f t="shared" si="4"/>
        <v>35.109696000000007</v>
      </c>
      <c r="K69" s="321">
        <f t="shared" si="5"/>
        <v>0</v>
      </c>
      <c r="L69" s="321">
        <f t="shared" si="6"/>
        <v>28.855781400000005</v>
      </c>
      <c r="M69" s="321">
        <f t="shared" si="7"/>
        <v>0</v>
      </c>
      <c r="N69" s="321">
        <f t="shared" si="8"/>
        <v>24.028198200000002</v>
      </c>
      <c r="O69" s="321">
        <f t="shared" si="9"/>
        <v>0</v>
      </c>
      <c r="P69" s="526"/>
    </row>
    <row r="70" spans="1:16" s="302" customFormat="1" ht="13.5" thickBot="1">
      <c r="A70" s="1086"/>
      <c r="B70" s="318"/>
      <c r="C70" s="336" t="s">
        <v>123</v>
      </c>
      <c r="D70" s="337" t="s">
        <v>3923</v>
      </c>
      <c r="E70" s="338">
        <v>329.56</v>
      </c>
      <c r="F70" s="320">
        <f t="shared" si="0"/>
        <v>197.73599999999999</v>
      </c>
      <c r="G70" s="322">
        <f t="shared" si="1"/>
        <v>0</v>
      </c>
      <c r="H70" s="321">
        <f t="shared" si="2"/>
        <v>16.708691999999999</v>
      </c>
      <c r="I70" s="321">
        <f t="shared" si="3"/>
        <v>0</v>
      </c>
      <c r="J70" s="321">
        <f t="shared" si="4"/>
        <v>6.3275519999999998</v>
      </c>
      <c r="K70" s="321">
        <f t="shared" si="5"/>
        <v>0</v>
      </c>
      <c r="L70" s="321">
        <f t="shared" si="6"/>
        <v>5.2004567999999995</v>
      </c>
      <c r="M70" s="321">
        <f t="shared" si="7"/>
        <v>0</v>
      </c>
      <c r="N70" s="321">
        <f t="shared" si="8"/>
        <v>4.3304183999999992</v>
      </c>
      <c r="O70" s="321">
        <f t="shared" si="9"/>
        <v>0</v>
      </c>
      <c r="P70" s="526"/>
    </row>
    <row r="71" spans="1:16" s="315" customFormat="1" ht="13.5" thickBot="1">
      <c r="A71" s="1086"/>
      <c r="B71" s="325"/>
      <c r="C71" s="336" t="s">
        <v>3862</v>
      </c>
      <c r="D71" s="337" t="s">
        <v>3929</v>
      </c>
      <c r="E71" s="338">
        <v>4449.0600000000004</v>
      </c>
      <c r="F71" s="320">
        <f t="shared" si="0"/>
        <v>2669.4360000000001</v>
      </c>
      <c r="G71" s="322">
        <f t="shared" si="1"/>
        <v>0</v>
      </c>
      <c r="H71" s="321">
        <f t="shared" si="2"/>
        <v>225.56734200000002</v>
      </c>
      <c r="I71" s="321">
        <f t="shared" si="3"/>
        <v>0</v>
      </c>
      <c r="J71" s="321">
        <f t="shared" si="4"/>
        <v>85.421952000000005</v>
      </c>
      <c r="K71" s="321">
        <f t="shared" si="5"/>
        <v>0</v>
      </c>
      <c r="L71" s="321">
        <f t="shared" si="6"/>
        <v>70.206166800000005</v>
      </c>
      <c r="M71" s="321">
        <f t="shared" si="7"/>
        <v>0</v>
      </c>
      <c r="N71" s="321">
        <f t="shared" si="8"/>
        <v>58.460648400000004</v>
      </c>
      <c r="O71" s="321">
        <f t="shared" si="9"/>
        <v>0</v>
      </c>
      <c r="P71" s="526"/>
    </row>
    <row r="72" spans="1:16" s="315" customFormat="1" ht="13.5" thickBot="1">
      <c r="A72" s="1086"/>
      <c r="B72" s="319"/>
      <c r="C72" s="336" t="s">
        <v>366</v>
      </c>
      <c r="D72" s="337" t="s">
        <v>367</v>
      </c>
      <c r="E72" s="338">
        <v>588.5</v>
      </c>
      <c r="F72" s="320">
        <f t="shared" si="0"/>
        <v>353.09999999999997</v>
      </c>
      <c r="G72" s="322">
        <f t="shared" si="1"/>
        <v>0</v>
      </c>
      <c r="H72" s="321">
        <f t="shared" si="2"/>
        <v>29.836949999999998</v>
      </c>
      <c r="I72" s="321">
        <f t="shared" si="3"/>
        <v>0</v>
      </c>
      <c r="J72" s="321">
        <f t="shared" si="4"/>
        <v>11.299199999999999</v>
      </c>
      <c r="K72" s="321">
        <f t="shared" si="5"/>
        <v>0</v>
      </c>
      <c r="L72" s="321">
        <f t="shared" si="6"/>
        <v>9.2865299999999991</v>
      </c>
      <c r="M72" s="321">
        <f t="shared" si="7"/>
        <v>0</v>
      </c>
      <c r="N72" s="321">
        <f t="shared" si="8"/>
        <v>7.7328899999999994</v>
      </c>
      <c r="O72" s="321">
        <f t="shared" si="9"/>
        <v>0</v>
      </c>
      <c r="P72" s="526"/>
    </row>
    <row r="73" spans="1:16" s="315" customFormat="1" ht="13.5" thickBot="1">
      <c r="A73" s="1086"/>
      <c r="B73" s="319"/>
      <c r="C73" s="336" t="s">
        <v>522</v>
      </c>
      <c r="D73" s="337" t="s">
        <v>3946</v>
      </c>
      <c r="E73" s="338">
        <v>101.65</v>
      </c>
      <c r="F73" s="320">
        <f t="shared" si="0"/>
        <v>60.99</v>
      </c>
      <c r="G73" s="322">
        <f t="shared" si="1"/>
        <v>0</v>
      </c>
      <c r="H73" s="321">
        <f t="shared" si="2"/>
        <v>5.1536550000000005</v>
      </c>
      <c r="I73" s="321">
        <f t="shared" si="3"/>
        <v>0</v>
      </c>
      <c r="J73" s="321">
        <f t="shared" si="4"/>
        <v>1.9516800000000001</v>
      </c>
      <c r="K73" s="321">
        <f t="shared" si="5"/>
        <v>0</v>
      </c>
      <c r="L73" s="321">
        <f t="shared" si="6"/>
        <v>1.6040370000000002</v>
      </c>
      <c r="M73" s="321">
        <f t="shared" si="7"/>
        <v>0</v>
      </c>
      <c r="N73" s="321">
        <f t="shared" si="8"/>
        <v>1.3356809999999999</v>
      </c>
      <c r="O73" s="321">
        <f t="shared" si="9"/>
        <v>0</v>
      </c>
      <c r="P73" s="526"/>
    </row>
    <row r="74" spans="1:16" s="315" customFormat="1" ht="13.5" thickBot="1">
      <c r="A74" s="1086"/>
      <c r="B74" s="319"/>
      <c r="C74" s="336" t="s">
        <v>3865</v>
      </c>
      <c r="D74" s="337" t="s">
        <v>3866</v>
      </c>
      <c r="E74" s="338">
        <v>145.52000000000001</v>
      </c>
      <c r="F74" s="320">
        <f t="shared" si="0"/>
        <v>87.311999999999998</v>
      </c>
      <c r="G74" s="322">
        <f t="shared" si="1"/>
        <v>0</v>
      </c>
      <c r="H74" s="321">
        <f t="shared" si="2"/>
        <v>7.3778640000000006</v>
      </c>
      <c r="I74" s="321">
        <f t="shared" si="3"/>
        <v>0</v>
      </c>
      <c r="J74" s="321">
        <f t="shared" si="4"/>
        <v>2.793984</v>
      </c>
      <c r="K74" s="321">
        <f t="shared" si="5"/>
        <v>0</v>
      </c>
      <c r="L74" s="321">
        <f t="shared" si="6"/>
        <v>2.2963056000000002</v>
      </c>
      <c r="M74" s="321">
        <f t="shared" si="7"/>
        <v>0</v>
      </c>
      <c r="N74" s="321">
        <f t="shared" si="8"/>
        <v>1.9121328</v>
      </c>
      <c r="O74" s="321">
        <f t="shared" si="9"/>
        <v>0</v>
      </c>
      <c r="P74" s="526"/>
    </row>
    <row r="75" spans="1:16" s="315" customFormat="1" ht="13.5" thickBot="1">
      <c r="A75" s="1086"/>
      <c r="B75" s="318"/>
      <c r="C75" s="336" t="s">
        <v>3930</v>
      </c>
      <c r="D75" s="337" t="s">
        <v>3931</v>
      </c>
      <c r="E75" s="338">
        <v>1470</v>
      </c>
      <c r="F75" s="320">
        <f t="shared" si="0"/>
        <v>882</v>
      </c>
      <c r="G75" s="322">
        <f t="shared" si="1"/>
        <v>0</v>
      </c>
      <c r="H75" s="321">
        <f t="shared" si="2"/>
        <v>74.529000000000011</v>
      </c>
      <c r="I75" s="321">
        <f t="shared" si="3"/>
        <v>0</v>
      </c>
      <c r="J75" s="321">
        <f t="shared" si="4"/>
        <v>28.224</v>
      </c>
      <c r="K75" s="321">
        <f t="shared" si="5"/>
        <v>0</v>
      </c>
      <c r="L75" s="321">
        <f t="shared" si="6"/>
        <v>23.1966</v>
      </c>
      <c r="M75" s="321">
        <f t="shared" si="7"/>
        <v>0</v>
      </c>
      <c r="N75" s="321">
        <f t="shared" si="8"/>
        <v>19.315799999999999</v>
      </c>
      <c r="O75" s="321">
        <f t="shared" si="9"/>
        <v>0</v>
      </c>
      <c r="P75" s="526"/>
    </row>
    <row r="76" spans="1:16" s="315" customFormat="1" ht="13.5" thickBot="1">
      <c r="A76" s="1086"/>
      <c r="B76" s="318"/>
      <c r="C76" s="339" t="s">
        <v>127</v>
      </c>
      <c r="D76" s="337" t="s">
        <v>3947</v>
      </c>
      <c r="E76" s="338">
        <v>148.72999999999999</v>
      </c>
      <c r="F76" s="320">
        <f t="shared" si="0"/>
        <v>89.237999999999985</v>
      </c>
      <c r="G76" s="322">
        <f t="shared" si="1"/>
        <v>0</v>
      </c>
      <c r="H76" s="321">
        <f t="shared" si="2"/>
        <v>7.5406109999999993</v>
      </c>
      <c r="I76" s="321">
        <f t="shared" si="3"/>
        <v>0</v>
      </c>
      <c r="J76" s="321">
        <f t="shared" si="4"/>
        <v>2.8556159999999995</v>
      </c>
      <c r="K76" s="321">
        <f t="shared" si="5"/>
        <v>0</v>
      </c>
      <c r="L76" s="321">
        <f t="shared" si="6"/>
        <v>2.3469593999999998</v>
      </c>
      <c r="M76" s="321">
        <f t="shared" si="7"/>
        <v>0</v>
      </c>
      <c r="N76" s="321">
        <f t="shared" si="8"/>
        <v>1.9543121999999997</v>
      </c>
      <c r="O76" s="321">
        <f t="shared" si="9"/>
        <v>0</v>
      </c>
      <c r="P76" s="526"/>
    </row>
    <row r="77" spans="1:16" s="315" customFormat="1" ht="13.5" thickBot="1">
      <c r="A77" s="1086"/>
      <c r="B77" s="325"/>
      <c r="C77" s="340" t="s">
        <v>129</v>
      </c>
      <c r="D77" s="337" t="s">
        <v>130</v>
      </c>
      <c r="E77" s="338">
        <v>785</v>
      </c>
      <c r="F77" s="320">
        <f t="shared" si="0"/>
        <v>471</v>
      </c>
      <c r="G77" s="322">
        <f t="shared" si="1"/>
        <v>0</v>
      </c>
      <c r="H77" s="321">
        <f t="shared" si="2"/>
        <v>39.799500000000002</v>
      </c>
      <c r="I77" s="321">
        <f t="shared" si="3"/>
        <v>0</v>
      </c>
      <c r="J77" s="321">
        <f t="shared" si="4"/>
        <v>15.072000000000001</v>
      </c>
      <c r="K77" s="321">
        <f t="shared" si="5"/>
        <v>0</v>
      </c>
      <c r="L77" s="321">
        <f t="shared" si="6"/>
        <v>12.3873</v>
      </c>
      <c r="M77" s="321">
        <f t="shared" si="7"/>
        <v>0</v>
      </c>
      <c r="N77" s="321">
        <f t="shared" si="8"/>
        <v>10.3149</v>
      </c>
      <c r="O77" s="321">
        <f t="shared" si="9"/>
        <v>0</v>
      </c>
      <c r="P77" s="526"/>
    </row>
    <row r="78" spans="1:16" s="315" customFormat="1" ht="13.5" thickBot="1">
      <c r="A78" s="1086"/>
      <c r="B78" s="318"/>
      <c r="C78" s="339" t="s">
        <v>131</v>
      </c>
      <c r="D78" s="337" t="s">
        <v>217</v>
      </c>
      <c r="E78" s="338">
        <v>821</v>
      </c>
      <c r="F78" s="320">
        <f t="shared" si="0"/>
        <v>492.59999999999997</v>
      </c>
      <c r="G78" s="322">
        <f t="shared" si="1"/>
        <v>0</v>
      </c>
      <c r="H78" s="321">
        <f t="shared" si="2"/>
        <v>41.624699999999997</v>
      </c>
      <c r="I78" s="321">
        <f t="shared" si="3"/>
        <v>0</v>
      </c>
      <c r="J78" s="321">
        <f t="shared" si="4"/>
        <v>15.763199999999999</v>
      </c>
      <c r="K78" s="321">
        <f t="shared" si="5"/>
        <v>0</v>
      </c>
      <c r="L78" s="321">
        <f t="shared" si="6"/>
        <v>12.95538</v>
      </c>
      <c r="M78" s="321">
        <f t="shared" si="7"/>
        <v>0</v>
      </c>
      <c r="N78" s="321">
        <f t="shared" si="8"/>
        <v>10.787939999999999</v>
      </c>
      <c r="O78" s="321">
        <f t="shared" si="9"/>
        <v>0</v>
      </c>
      <c r="P78" s="526"/>
    </row>
    <row r="79" spans="1:16" s="315" customFormat="1" ht="13.5" thickBot="1">
      <c r="A79" s="1086"/>
      <c r="B79" s="319"/>
      <c r="C79" s="339" t="s">
        <v>133</v>
      </c>
      <c r="D79" s="337" t="s">
        <v>134</v>
      </c>
      <c r="E79" s="338">
        <v>690</v>
      </c>
      <c r="F79" s="320">
        <f t="shared" si="0"/>
        <v>414</v>
      </c>
      <c r="G79" s="322">
        <f t="shared" si="1"/>
        <v>0</v>
      </c>
      <c r="H79" s="321">
        <f t="shared" ref="H79:H104" si="10">F79*0.0845</f>
        <v>34.983000000000004</v>
      </c>
      <c r="I79" s="321">
        <f t="shared" si="3"/>
        <v>0</v>
      </c>
      <c r="J79" s="321">
        <f t="shared" ref="J79:J104" si="11">F79*0.032</f>
        <v>13.248000000000001</v>
      </c>
      <c r="K79" s="321">
        <f t="shared" si="5"/>
        <v>0</v>
      </c>
      <c r="L79" s="321">
        <f t="shared" ref="L79:L104" si="12">F79*0.0263</f>
        <v>10.888199999999999</v>
      </c>
      <c r="M79" s="321">
        <f t="shared" si="7"/>
        <v>0</v>
      </c>
      <c r="N79" s="321">
        <f t="shared" ref="N79:N104" si="13">F79*0.0219</f>
        <v>9.0665999999999993</v>
      </c>
      <c r="O79" s="321">
        <f t="shared" si="9"/>
        <v>0</v>
      </c>
      <c r="P79" s="526"/>
    </row>
    <row r="80" spans="1:16" s="315" customFormat="1" ht="13.5" thickBot="1">
      <c r="A80" s="1086"/>
      <c r="B80" s="319"/>
      <c r="C80" s="336" t="s">
        <v>135</v>
      </c>
      <c r="D80" s="337" t="s">
        <v>136</v>
      </c>
      <c r="E80" s="338">
        <v>191</v>
      </c>
      <c r="F80" s="38">
        <f t="shared" si="0"/>
        <v>114.6</v>
      </c>
      <c r="G80" s="41">
        <f t="shared" si="1"/>
        <v>0</v>
      </c>
      <c r="H80" s="39">
        <f t="shared" si="10"/>
        <v>9.6837</v>
      </c>
      <c r="I80" s="39">
        <f t="shared" si="3"/>
        <v>0</v>
      </c>
      <c r="J80" s="39">
        <f t="shared" si="11"/>
        <v>3.6671999999999998</v>
      </c>
      <c r="K80" s="39">
        <f t="shared" si="5"/>
        <v>0</v>
      </c>
      <c r="L80" s="39">
        <f t="shared" si="12"/>
        <v>3.0139800000000001</v>
      </c>
      <c r="M80" s="39">
        <f t="shared" si="7"/>
        <v>0</v>
      </c>
      <c r="N80" s="39">
        <f t="shared" si="13"/>
        <v>2.5097399999999999</v>
      </c>
      <c r="O80" s="39">
        <f t="shared" si="9"/>
        <v>0</v>
      </c>
      <c r="P80" s="526"/>
    </row>
    <row r="81" spans="1:16" s="315" customFormat="1" ht="26.25" thickBot="1">
      <c r="A81" s="1086"/>
      <c r="B81" s="319"/>
      <c r="C81" s="339" t="s">
        <v>137</v>
      </c>
      <c r="D81" s="337" t="s">
        <v>3867</v>
      </c>
      <c r="E81" s="338">
        <v>667.8</v>
      </c>
      <c r="F81" s="320">
        <f t="shared" si="0"/>
        <v>400.67999999999995</v>
      </c>
      <c r="G81" s="322">
        <f t="shared" si="1"/>
        <v>0</v>
      </c>
      <c r="H81" s="321">
        <f t="shared" si="10"/>
        <v>33.857459999999996</v>
      </c>
      <c r="I81" s="321">
        <f t="shared" si="3"/>
        <v>0</v>
      </c>
      <c r="J81" s="321">
        <f t="shared" si="11"/>
        <v>12.821759999999999</v>
      </c>
      <c r="K81" s="321">
        <f t="shared" si="5"/>
        <v>0</v>
      </c>
      <c r="L81" s="321">
        <f t="shared" si="12"/>
        <v>10.537883999999998</v>
      </c>
      <c r="M81" s="321">
        <f t="shared" si="7"/>
        <v>0</v>
      </c>
      <c r="N81" s="321">
        <f t="shared" si="13"/>
        <v>8.7748919999999995</v>
      </c>
      <c r="O81" s="321">
        <f t="shared" si="9"/>
        <v>0</v>
      </c>
      <c r="P81" s="526"/>
    </row>
    <row r="82" spans="1:16" s="315" customFormat="1" ht="13.5" thickBot="1">
      <c r="A82" s="1086"/>
      <c r="B82" s="319"/>
      <c r="C82" s="336" t="s">
        <v>139</v>
      </c>
      <c r="D82" s="337" t="s">
        <v>140</v>
      </c>
      <c r="E82" s="338">
        <v>250</v>
      </c>
      <c r="F82" s="320">
        <f t="shared" si="0"/>
        <v>150</v>
      </c>
      <c r="G82" s="322">
        <f t="shared" si="1"/>
        <v>0</v>
      </c>
      <c r="H82" s="321">
        <f t="shared" si="10"/>
        <v>12.675000000000001</v>
      </c>
      <c r="I82" s="321">
        <f t="shared" si="3"/>
        <v>0</v>
      </c>
      <c r="J82" s="321">
        <f t="shared" si="11"/>
        <v>4.8</v>
      </c>
      <c r="K82" s="321">
        <f t="shared" si="5"/>
        <v>0</v>
      </c>
      <c r="L82" s="321">
        <f t="shared" si="12"/>
        <v>3.9450000000000003</v>
      </c>
      <c r="M82" s="321">
        <f t="shared" si="7"/>
        <v>0</v>
      </c>
      <c r="N82" s="321">
        <f t="shared" si="13"/>
        <v>3.2849999999999997</v>
      </c>
      <c r="O82" s="321">
        <f t="shared" si="9"/>
        <v>0</v>
      </c>
      <c r="P82" s="526"/>
    </row>
    <row r="83" spans="1:16" s="315" customFormat="1" ht="13.5" thickBot="1">
      <c r="A83" s="1086"/>
      <c r="B83" s="319"/>
      <c r="C83" s="336" t="s">
        <v>141</v>
      </c>
      <c r="D83" s="337" t="s">
        <v>174</v>
      </c>
      <c r="E83" s="338">
        <v>250</v>
      </c>
      <c r="F83" s="320">
        <f t="shared" si="0"/>
        <v>150</v>
      </c>
      <c r="G83" s="322">
        <f t="shared" si="1"/>
        <v>0</v>
      </c>
      <c r="H83" s="321">
        <f t="shared" si="10"/>
        <v>12.675000000000001</v>
      </c>
      <c r="I83" s="321">
        <f t="shared" si="3"/>
        <v>0</v>
      </c>
      <c r="J83" s="321">
        <f t="shared" si="11"/>
        <v>4.8</v>
      </c>
      <c r="K83" s="321">
        <f t="shared" si="5"/>
        <v>0</v>
      </c>
      <c r="L83" s="321">
        <f t="shared" si="12"/>
        <v>3.9450000000000003</v>
      </c>
      <c r="M83" s="321">
        <f t="shared" si="7"/>
        <v>0</v>
      </c>
      <c r="N83" s="321">
        <f t="shared" si="13"/>
        <v>3.2849999999999997</v>
      </c>
      <c r="O83" s="321">
        <f t="shared" si="9"/>
        <v>0</v>
      </c>
      <c r="P83" s="526"/>
    </row>
    <row r="84" spans="1:16" s="315" customFormat="1" ht="39" thickBot="1">
      <c r="A84" s="1086"/>
      <c r="B84" s="319"/>
      <c r="C84" s="336" t="s">
        <v>250</v>
      </c>
      <c r="D84" s="337" t="s">
        <v>3924</v>
      </c>
      <c r="E84" s="338">
        <v>3930.11</v>
      </c>
      <c r="F84" s="320">
        <f t="shared" si="0"/>
        <v>2358.0659999999998</v>
      </c>
      <c r="G84" s="322">
        <f t="shared" si="1"/>
        <v>0</v>
      </c>
      <c r="H84" s="321">
        <f t="shared" si="10"/>
        <v>199.25657699999999</v>
      </c>
      <c r="I84" s="321">
        <f t="shared" si="3"/>
        <v>0</v>
      </c>
      <c r="J84" s="321">
        <f t="shared" si="11"/>
        <v>75.458112</v>
      </c>
      <c r="K84" s="321">
        <f t="shared" si="5"/>
        <v>0</v>
      </c>
      <c r="L84" s="321">
        <f t="shared" si="12"/>
        <v>62.017135799999998</v>
      </c>
      <c r="M84" s="321">
        <f t="shared" si="7"/>
        <v>0</v>
      </c>
      <c r="N84" s="321">
        <f t="shared" si="13"/>
        <v>51.641645399999994</v>
      </c>
      <c r="O84" s="321">
        <f t="shared" si="9"/>
        <v>0</v>
      </c>
      <c r="P84" s="526"/>
    </row>
    <row r="85" spans="1:16" s="315" customFormat="1" ht="26.25" thickBot="1">
      <c r="A85" s="1086"/>
      <c r="B85" s="319"/>
      <c r="C85" s="336" t="s">
        <v>251</v>
      </c>
      <c r="D85" s="337" t="s">
        <v>3868</v>
      </c>
      <c r="E85" s="338">
        <v>1959</v>
      </c>
      <c r="F85" s="320">
        <f t="shared" si="0"/>
        <v>1175.3999999999999</v>
      </c>
      <c r="G85" s="322">
        <f t="shared" si="1"/>
        <v>0</v>
      </c>
      <c r="H85" s="321">
        <f t="shared" si="10"/>
        <v>99.321299999999994</v>
      </c>
      <c r="I85" s="321">
        <f t="shared" si="3"/>
        <v>0</v>
      </c>
      <c r="J85" s="321">
        <f t="shared" si="11"/>
        <v>37.612799999999993</v>
      </c>
      <c r="K85" s="321">
        <f t="shared" si="5"/>
        <v>0</v>
      </c>
      <c r="L85" s="321">
        <f t="shared" si="12"/>
        <v>30.913019999999996</v>
      </c>
      <c r="M85" s="321">
        <f t="shared" si="7"/>
        <v>0</v>
      </c>
      <c r="N85" s="321">
        <f t="shared" si="13"/>
        <v>25.741259999999997</v>
      </c>
      <c r="O85" s="321">
        <f t="shared" si="9"/>
        <v>0</v>
      </c>
      <c r="P85" s="526"/>
    </row>
    <row r="86" spans="1:16" s="315" customFormat="1" ht="13.5" thickBot="1">
      <c r="A86" s="1086"/>
      <c r="B86" s="319"/>
      <c r="C86" s="336" t="s">
        <v>252</v>
      </c>
      <c r="D86" s="337" t="s">
        <v>3869</v>
      </c>
      <c r="E86" s="338">
        <v>996.17</v>
      </c>
      <c r="F86" s="38">
        <f t="shared" si="0"/>
        <v>597.702</v>
      </c>
      <c r="G86" s="41">
        <f t="shared" si="1"/>
        <v>0</v>
      </c>
      <c r="H86" s="39">
        <f t="shared" si="10"/>
        <v>50.505819000000002</v>
      </c>
      <c r="I86" s="39">
        <f t="shared" si="3"/>
        <v>0</v>
      </c>
      <c r="J86" s="39">
        <f t="shared" si="11"/>
        <v>19.126463999999999</v>
      </c>
      <c r="K86" s="39">
        <f t="shared" si="5"/>
        <v>0</v>
      </c>
      <c r="L86" s="39">
        <f t="shared" si="12"/>
        <v>15.7195626</v>
      </c>
      <c r="M86" s="39">
        <f t="shared" si="7"/>
        <v>0</v>
      </c>
      <c r="N86" s="39">
        <f t="shared" si="13"/>
        <v>13.0896738</v>
      </c>
      <c r="O86" s="39">
        <f t="shared" si="9"/>
        <v>0</v>
      </c>
      <c r="P86" s="526"/>
    </row>
    <row r="87" spans="1:16" s="315" customFormat="1" ht="13.5" thickBot="1">
      <c r="A87" s="1086"/>
      <c r="B87" s="319"/>
      <c r="C87" s="336" t="s">
        <v>218</v>
      </c>
      <c r="D87" s="337" t="s">
        <v>253</v>
      </c>
      <c r="E87" s="338">
        <v>70.62</v>
      </c>
      <c r="F87" s="320">
        <f t="shared" si="0"/>
        <v>42.372</v>
      </c>
      <c r="G87" s="322">
        <f t="shared" si="1"/>
        <v>0</v>
      </c>
      <c r="H87" s="321">
        <f t="shared" si="10"/>
        <v>3.5804340000000003</v>
      </c>
      <c r="I87" s="321">
        <f t="shared" si="3"/>
        <v>0</v>
      </c>
      <c r="J87" s="321">
        <f t="shared" si="11"/>
        <v>1.355904</v>
      </c>
      <c r="K87" s="321">
        <f t="shared" si="5"/>
        <v>0</v>
      </c>
      <c r="L87" s="321">
        <f t="shared" si="12"/>
        <v>1.1143836</v>
      </c>
      <c r="M87" s="321">
        <f t="shared" si="7"/>
        <v>0</v>
      </c>
      <c r="N87" s="321">
        <f t="shared" si="13"/>
        <v>0.92794679999999996</v>
      </c>
      <c r="O87" s="321">
        <f t="shared" si="9"/>
        <v>0</v>
      </c>
      <c r="P87" s="526"/>
    </row>
    <row r="88" spans="1:16" s="315" customFormat="1" ht="13.5" thickBot="1">
      <c r="A88" s="1086"/>
      <c r="B88" s="319"/>
      <c r="C88" s="336" t="s">
        <v>3870</v>
      </c>
      <c r="D88" s="337" t="s">
        <v>4046</v>
      </c>
      <c r="E88" s="338">
        <v>131.61000000000001</v>
      </c>
      <c r="F88" s="320">
        <f t="shared" si="0"/>
        <v>78.966000000000008</v>
      </c>
      <c r="G88" s="322">
        <f t="shared" si="1"/>
        <v>0</v>
      </c>
      <c r="H88" s="321">
        <f t="shared" si="10"/>
        <v>6.6726270000000012</v>
      </c>
      <c r="I88" s="321">
        <f t="shared" si="3"/>
        <v>0</v>
      </c>
      <c r="J88" s="321">
        <f t="shared" si="11"/>
        <v>2.5269120000000003</v>
      </c>
      <c r="K88" s="321">
        <f t="shared" si="5"/>
        <v>0</v>
      </c>
      <c r="L88" s="321">
        <f t="shared" si="12"/>
        <v>2.0768058000000003</v>
      </c>
      <c r="M88" s="321">
        <f t="shared" si="7"/>
        <v>0</v>
      </c>
      <c r="N88" s="321">
        <f t="shared" si="13"/>
        <v>1.7293554000000002</v>
      </c>
      <c r="O88" s="321">
        <f t="shared" si="9"/>
        <v>0</v>
      </c>
      <c r="P88" s="526"/>
    </row>
    <row r="89" spans="1:16" s="315" customFormat="1" ht="13.5" thickBot="1">
      <c r="A89" s="1086"/>
      <c r="B89" s="317"/>
      <c r="C89" s="336" t="s">
        <v>3871</v>
      </c>
      <c r="D89" s="337" t="s">
        <v>385</v>
      </c>
      <c r="E89" s="338">
        <v>1075.3499999999999</v>
      </c>
      <c r="F89" s="320">
        <f t="shared" si="0"/>
        <v>645.20999999999992</v>
      </c>
      <c r="G89" s="322">
        <f t="shared" si="1"/>
        <v>0</v>
      </c>
      <c r="H89" s="321">
        <f t="shared" si="10"/>
        <v>54.520244999999996</v>
      </c>
      <c r="I89" s="321">
        <f t="shared" si="3"/>
        <v>0</v>
      </c>
      <c r="J89" s="321">
        <f t="shared" si="11"/>
        <v>20.646719999999998</v>
      </c>
      <c r="K89" s="321">
        <f t="shared" si="5"/>
        <v>0</v>
      </c>
      <c r="L89" s="321">
        <f t="shared" si="12"/>
        <v>16.969023</v>
      </c>
      <c r="M89" s="321">
        <f t="shared" si="7"/>
        <v>0</v>
      </c>
      <c r="N89" s="321">
        <f t="shared" si="13"/>
        <v>14.130098999999998</v>
      </c>
      <c r="O89" s="321">
        <f t="shared" si="9"/>
        <v>0</v>
      </c>
      <c r="P89" s="526"/>
    </row>
    <row r="90" spans="1:16" s="315" customFormat="1" ht="13.5" thickBot="1">
      <c r="A90" s="1086"/>
      <c r="B90" s="327"/>
      <c r="C90" s="336" t="s">
        <v>3872</v>
      </c>
      <c r="D90" s="337" t="s">
        <v>386</v>
      </c>
      <c r="E90" s="338">
        <v>1402.77</v>
      </c>
      <c r="F90" s="320">
        <f t="shared" si="0"/>
        <v>841.66199999999992</v>
      </c>
      <c r="G90" s="322">
        <f t="shared" si="1"/>
        <v>0</v>
      </c>
      <c r="H90" s="321">
        <f t="shared" si="10"/>
        <v>71.120439000000005</v>
      </c>
      <c r="I90" s="321">
        <f t="shared" si="3"/>
        <v>0</v>
      </c>
      <c r="J90" s="321">
        <f t="shared" si="11"/>
        <v>26.933183999999997</v>
      </c>
      <c r="K90" s="321">
        <f t="shared" si="5"/>
        <v>0</v>
      </c>
      <c r="L90" s="321">
        <f t="shared" si="12"/>
        <v>22.135710599999999</v>
      </c>
      <c r="M90" s="321">
        <f t="shared" si="7"/>
        <v>0</v>
      </c>
      <c r="N90" s="321">
        <f t="shared" si="13"/>
        <v>18.432397799999997</v>
      </c>
      <c r="O90" s="321">
        <f t="shared" si="9"/>
        <v>0</v>
      </c>
      <c r="P90" s="526"/>
    </row>
    <row r="91" spans="1:16" s="315" customFormat="1" ht="13.5" thickBot="1">
      <c r="A91" s="1086"/>
      <c r="B91" s="318"/>
      <c r="C91" s="340" t="s">
        <v>3873</v>
      </c>
      <c r="D91" s="337" t="s">
        <v>387</v>
      </c>
      <c r="E91" s="338">
        <v>1651.01</v>
      </c>
      <c r="F91" s="320">
        <f t="shared" si="0"/>
        <v>990.60599999999999</v>
      </c>
      <c r="G91" s="322">
        <f t="shared" si="1"/>
        <v>0</v>
      </c>
      <c r="H91" s="321">
        <f t="shared" si="10"/>
        <v>83.706207000000006</v>
      </c>
      <c r="I91" s="321">
        <f t="shared" si="3"/>
        <v>0</v>
      </c>
      <c r="J91" s="321">
        <f t="shared" si="11"/>
        <v>31.699392</v>
      </c>
      <c r="K91" s="321">
        <f t="shared" si="5"/>
        <v>0</v>
      </c>
      <c r="L91" s="321">
        <f t="shared" si="12"/>
        <v>26.052937799999999</v>
      </c>
      <c r="M91" s="321">
        <f t="shared" si="7"/>
        <v>0</v>
      </c>
      <c r="N91" s="321">
        <f t="shared" si="13"/>
        <v>21.694271399999998</v>
      </c>
      <c r="O91" s="321">
        <f t="shared" si="9"/>
        <v>0</v>
      </c>
      <c r="P91" s="526"/>
    </row>
    <row r="92" spans="1:16" s="315" customFormat="1" ht="13.5" thickBot="1">
      <c r="A92" s="1086"/>
      <c r="B92" s="319"/>
      <c r="C92" s="336" t="s">
        <v>254</v>
      </c>
      <c r="D92" s="337" t="s">
        <v>3874</v>
      </c>
      <c r="E92" s="338">
        <v>1964.52</v>
      </c>
      <c r="F92" s="320">
        <f t="shared" si="0"/>
        <v>1178.712</v>
      </c>
      <c r="G92" s="322">
        <f t="shared" si="1"/>
        <v>0</v>
      </c>
      <c r="H92" s="321">
        <f t="shared" si="10"/>
        <v>99.601164000000011</v>
      </c>
      <c r="I92" s="321">
        <f t="shared" si="3"/>
        <v>0</v>
      </c>
      <c r="J92" s="321">
        <f t="shared" si="11"/>
        <v>37.718783999999999</v>
      </c>
      <c r="K92" s="321">
        <f t="shared" si="5"/>
        <v>0</v>
      </c>
      <c r="L92" s="321">
        <f t="shared" si="12"/>
        <v>31.000125600000001</v>
      </c>
      <c r="M92" s="321">
        <f t="shared" si="7"/>
        <v>0</v>
      </c>
      <c r="N92" s="321">
        <f t="shared" si="13"/>
        <v>25.813792799999998</v>
      </c>
      <c r="O92" s="321">
        <f t="shared" si="9"/>
        <v>0</v>
      </c>
      <c r="P92" s="526"/>
    </row>
    <row r="93" spans="1:16" s="315" customFormat="1" ht="13.5" thickBot="1">
      <c r="A93" s="1086"/>
      <c r="B93" s="323"/>
      <c r="C93" s="336" t="s">
        <v>528</v>
      </c>
      <c r="D93" s="337" t="s">
        <v>3912</v>
      </c>
      <c r="E93" s="338">
        <v>1306.47</v>
      </c>
      <c r="F93" s="320">
        <f t="shared" si="0"/>
        <v>783.88199999999995</v>
      </c>
      <c r="G93" s="322">
        <f t="shared" si="1"/>
        <v>0</v>
      </c>
      <c r="H93" s="321">
        <f t="shared" si="10"/>
        <v>66.238028999999997</v>
      </c>
      <c r="I93" s="321">
        <f t="shared" si="3"/>
        <v>0</v>
      </c>
      <c r="J93" s="321">
        <f t="shared" si="11"/>
        <v>25.084223999999999</v>
      </c>
      <c r="K93" s="321">
        <f t="shared" si="5"/>
        <v>0</v>
      </c>
      <c r="L93" s="321">
        <f t="shared" si="12"/>
        <v>20.616096599999999</v>
      </c>
      <c r="M93" s="321">
        <f t="shared" si="7"/>
        <v>0</v>
      </c>
      <c r="N93" s="321">
        <f t="shared" si="13"/>
        <v>17.167015799999998</v>
      </c>
      <c r="O93" s="321">
        <f t="shared" si="9"/>
        <v>0</v>
      </c>
      <c r="P93" s="526"/>
    </row>
    <row r="94" spans="1:16" s="315" customFormat="1" ht="13.5" thickBot="1">
      <c r="A94" s="1086"/>
      <c r="B94" s="318"/>
      <c r="C94" s="336" t="s">
        <v>256</v>
      </c>
      <c r="D94" s="337" t="s">
        <v>3875</v>
      </c>
      <c r="E94" s="338">
        <v>690.15</v>
      </c>
      <c r="F94" s="320">
        <f t="shared" si="0"/>
        <v>414.09</v>
      </c>
      <c r="G94" s="322">
        <f t="shared" si="1"/>
        <v>0</v>
      </c>
      <c r="H94" s="321">
        <f t="shared" si="10"/>
        <v>34.990605000000002</v>
      </c>
      <c r="I94" s="321">
        <f t="shared" si="3"/>
        <v>0</v>
      </c>
      <c r="J94" s="321">
        <f t="shared" si="11"/>
        <v>13.250879999999999</v>
      </c>
      <c r="K94" s="321">
        <f t="shared" si="5"/>
        <v>0</v>
      </c>
      <c r="L94" s="321">
        <f t="shared" si="12"/>
        <v>10.890566999999999</v>
      </c>
      <c r="M94" s="321">
        <f t="shared" si="7"/>
        <v>0</v>
      </c>
      <c r="N94" s="321">
        <f t="shared" si="13"/>
        <v>9.0685709999999986</v>
      </c>
      <c r="O94" s="321">
        <f t="shared" si="9"/>
        <v>0</v>
      </c>
      <c r="P94" s="526"/>
    </row>
    <row r="95" spans="1:16" s="315" customFormat="1" ht="13.5" thickBot="1">
      <c r="A95" s="1086"/>
      <c r="B95" s="319"/>
      <c r="C95" s="336" t="s">
        <v>368</v>
      </c>
      <c r="D95" s="337" t="s">
        <v>434</v>
      </c>
      <c r="E95" s="338">
        <v>1000.45</v>
      </c>
      <c r="F95" s="320">
        <f t="shared" si="0"/>
        <v>600.27</v>
      </c>
      <c r="G95" s="322">
        <f t="shared" si="1"/>
        <v>0</v>
      </c>
      <c r="H95" s="321">
        <f t="shared" si="10"/>
        <v>50.722815000000004</v>
      </c>
      <c r="I95" s="321">
        <f t="shared" si="3"/>
        <v>0</v>
      </c>
      <c r="J95" s="321">
        <f t="shared" si="11"/>
        <v>19.208639999999999</v>
      </c>
      <c r="K95" s="321">
        <f t="shared" si="5"/>
        <v>0</v>
      </c>
      <c r="L95" s="321">
        <f t="shared" si="12"/>
        <v>15.787101</v>
      </c>
      <c r="M95" s="321">
        <f t="shared" si="7"/>
        <v>0</v>
      </c>
      <c r="N95" s="321">
        <f t="shared" si="13"/>
        <v>13.145912999999998</v>
      </c>
      <c r="O95" s="321">
        <f t="shared" si="9"/>
        <v>0</v>
      </c>
      <c r="P95" s="526"/>
    </row>
    <row r="96" spans="1:16" s="315" customFormat="1" ht="13.5" thickBot="1">
      <c r="A96" s="1086"/>
      <c r="B96" s="323"/>
      <c r="C96" s="336" t="s">
        <v>3876</v>
      </c>
      <c r="D96" s="337" t="s">
        <v>3877</v>
      </c>
      <c r="E96" s="338">
        <v>690.15</v>
      </c>
      <c r="F96" s="320">
        <f t="shared" si="0"/>
        <v>414.09</v>
      </c>
      <c r="G96" s="322">
        <f t="shared" si="1"/>
        <v>0</v>
      </c>
      <c r="H96" s="321">
        <f t="shared" si="10"/>
        <v>34.990605000000002</v>
      </c>
      <c r="I96" s="321">
        <f t="shared" si="3"/>
        <v>0</v>
      </c>
      <c r="J96" s="321">
        <f t="shared" si="11"/>
        <v>13.250879999999999</v>
      </c>
      <c r="K96" s="321">
        <f t="shared" si="5"/>
        <v>0</v>
      </c>
      <c r="L96" s="321">
        <f t="shared" si="12"/>
        <v>10.890566999999999</v>
      </c>
      <c r="M96" s="321">
        <f t="shared" si="7"/>
        <v>0</v>
      </c>
      <c r="N96" s="321">
        <f t="shared" si="13"/>
        <v>9.0685709999999986</v>
      </c>
      <c r="O96" s="321">
        <f t="shared" si="9"/>
        <v>0</v>
      </c>
      <c r="P96" s="526"/>
    </row>
    <row r="97" spans="1:16" s="315" customFormat="1" ht="13.5" thickBot="1">
      <c r="A97" s="1086"/>
      <c r="B97" s="319"/>
      <c r="C97" s="336" t="s">
        <v>257</v>
      </c>
      <c r="D97" s="337" t="s">
        <v>3878</v>
      </c>
      <c r="E97" s="338">
        <v>1348</v>
      </c>
      <c r="F97" s="38">
        <f t="shared" si="0"/>
        <v>808.8</v>
      </c>
      <c r="G97" s="41">
        <f t="shared" si="1"/>
        <v>0</v>
      </c>
      <c r="H97" s="39">
        <f t="shared" si="10"/>
        <v>68.343599999999995</v>
      </c>
      <c r="I97" s="39">
        <f t="shared" si="3"/>
        <v>0</v>
      </c>
      <c r="J97" s="39">
        <f t="shared" si="11"/>
        <v>25.881599999999999</v>
      </c>
      <c r="K97" s="39">
        <f t="shared" si="5"/>
        <v>0</v>
      </c>
      <c r="L97" s="39">
        <f t="shared" si="12"/>
        <v>21.271439999999998</v>
      </c>
      <c r="M97" s="39">
        <f t="shared" si="7"/>
        <v>0</v>
      </c>
      <c r="N97" s="39">
        <f t="shared" si="13"/>
        <v>17.712719999999997</v>
      </c>
      <c r="O97" s="39">
        <f t="shared" si="9"/>
        <v>0</v>
      </c>
      <c r="P97" s="526"/>
    </row>
    <row r="98" spans="1:16" s="315" customFormat="1" ht="13.5" thickBot="1">
      <c r="A98" s="1086"/>
      <c r="B98" s="325"/>
      <c r="C98" s="336" t="s">
        <v>258</v>
      </c>
      <c r="D98" s="337" t="s">
        <v>223</v>
      </c>
      <c r="E98" s="338">
        <v>56.71</v>
      </c>
      <c r="F98" s="38">
        <f t="shared" si="0"/>
        <v>34.025999999999996</v>
      </c>
      <c r="G98" s="41">
        <f t="shared" si="1"/>
        <v>0</v>
      </c>
      <c r="H98" s="39">
        <f t="shared" si="10"/>
        <v>2.875197</v>
      </c>
      <c r="I98" s="39">
        <f t="shared" si="3"/>
        <v>0</v>
      </c>
      <c r="J98" s="39">
        <f t="shared" si="11"/>
        <v>1.0888319999999998</v>
      </c>
      <c r="K98" s="39">
        <f t="shared" si="5"/>
        <v>0</v>
      </c>
      <c r="L98" s="39">
        <f t="shared" si="12"/>
        <v>0.8948837999999999</v>
      </c>
      <c r="M98" s="39">
        <f t="shared" si="7"/>
        <v>0</v>
      </c>
      <c r="N98" s="39">
        <f t="shared" si="13"/>
        <v>0.74516939999999987</v>
      </c>
      <c r="O98" s="39">
        <f t="shared" si="9"/>
        <v>0</v>
      </c>
      <c r="P98" s="526"/>
    </row>
    <row r="99" spans="1:16" s="315" customFormat="1" ht="13.5" thickBot="1">
      <c r="A99" s="1086"/>
      <c r="B99" s="318"/>
      <c r="C99" s="340" t="s">
        <v>259</v>
      </c>
      <c r="D99" s="337" t="s">
        <v>436</v>
      </c>
      <c r="E99" s="338">
        <v>32.1</v>
      </c>
      <c r="F99" s="320">
        <f t="shared" si="0"/>
        <v>19.260000000000002</v>
      </c>
      <c r="G99" s="322">
        <f t="shared" si="1"/>
        <v>0</v>
      </c>
      <c r="H99" s="321">
        <f t="shared" si="10"/>
        <v>1.6274700000000002</v>
      </c>
      <c r="I99" s="321">
        <f t="shared" si="3"/>
        <v>0</v>
      </c>
      <c r="J99" s="321">
        <f t="shared" si="11"/>
        <v>0.61632000000000009</v>
      </c>
      <c r="K99" s="321">
        <f t="shared" si="5"/>
        <v>0</v>
      </c>
      <c r="L99" s="321">
        <f t="shared" si="12"/>
        <v>0.50653800000000004</v>
      </c>
      <c r="M99" s="321">
        <f t="shared" si="7"/>
        <v>0</v>
      </c>
      <c r="N99" s="321">
        <f t="shared" si="13"/>
        <v>0.421794</v>
      </c>
      <c r="O99" s="321">
        <f t="shared" si="9"/>
        <v>0</v>
      </c>
      <c r="P99" s="526"/>
    </row>
    <row r="100" spans="1:16" s="315" customFormat="1" ht="13.5" thickBot="1">
      <c r="A100" s="1086"/>
      <c r="B100" s="318"/>
      <c r="C100" s="336" t="s">
        <v>527</v>
      </c>
      <c r="D100" s="337" t="s">
        <v>224</v>
      </c>
      <c r="E100" s="338">
        <v>35.31</v>
      </c>
      <c r="F100" s="38">
        <f t="shared" si="0"/>
        <v>21.186</v>
      </c>
      <c r="G100" s="41">
        <f t="shared" si="1"/>
        <v>0</v>
      </c>
      <c r="H100" s="39">
        <f t="shared" si="10"/>
        <v>1.7902170000000002</v>
      </c>
      <c r="I100" s="39">
        <f t="shared" si="3"/>
        <v>0</v>
      </c>
      <c r="J100" s="39">
        <f t="shared" si="11"/>
        <v>0.677952</v>
      </c>
      <c r="K100" s="39">
        <f t="shared" si="5"/>
        <v>0</v>
      </c>
      <c r="L100" s="39">
        <f t="shared" si="12"/>
        <v>0.55719180000000001</v>
      </c>
      <c r="M100" s="39">
        <f t="shared" si="7"/>
        <v>0</v>
      </c>
      <c r="N100" s="39">
        <f t="shared" si="13"/>
        <v>0.46397339999999998</v>
      </c>
      <c r="O100" s="39">
        <f t="shared" si="9"/>
        <v>0</v>
      </c>
      <c r="P100" s="526"/>
    </row>
    <row r="101" spans="1:16" s="315" customFormat="1" ht="13.5" thickBot="1">
      <c r="A101" s="1086"/>
      <c r="B101" s="319"/>
      <c r="C101" s="340" t="s">
        <v>530</v>
      </c>
      <c r="D101" s="337" t="s">
        <v>4047</v>
      </c>
      <c r="E101" s="338">
        <v>306.02</v>
      </c>
      <c r="F101" s="320">
        <f t="shared" si="0"/>
        <v>183.61199999999999</v>
      </c>
      <c r="G101" s="322">
        <f t="shared" si="1"/>
        <v>0</v>
      </c>
      <c r="H101" s="321">
        <f t="shared" si="10"/>
        <v>15.515214</v>
      </c>
      <c r="I101" s="321">
        <f t="shared" si="3"/>
        <v>0</v>
      </c>
      <c r="J101" s="321">
        <f t="shared" si="11"/>
        <v>5.8755839999999999</v>
      </c>
      <c r="K101" s="321">
        <f t="shared" si="5"/>
        <v>0</v>
      </c>
      <c r="L101" s="321">
        <f t="shared" si="12"/>
        <v>4.8289955999999998</v>
      </c>
      <c r="M101" s="321">
        <f t="shared" si="7"/>
        <v>0</v>
      </c>
      <c r="N101" s="321">
        <f t="shared" si="13"/>
        <v>4.0211027999999995</v>
      </c>
      <c r="O101" s="321">
        <f t="shared" si="9"/>
        <v>0</v>
      </c>
      <c r="P101" s="526"/>
    </row>
    <row r="102" spans="1:16" s="315" customFormat="1" ht="13.5" thickBot="1">
      <c r="A102" s="1086"/>
      <c r="B102" s="318"/>
      <c r="C102" s="336" t="s">
        <v>299</v>
      </c>
      <c r="D102" s="337" t="s">
        <v>437</v>
      </c>
      <c r="E102" s="338">
        <v>348.82</v>
      </c>
      <c r="F102" s="320">
        <f t="shared" si="0"/>
        <v>209.292</v>
      </c>
      <c r="G102" s="322">
        <f t="shared" si="1"/>
        <v>0</v>
      </c>
      <c r="H102" s="321">
        <f t="shared" si="10"/>
        <v>17.685174</v>
      </c>
      <c r="I102" s="321">
        <f t="shared" si="3"/>
        <v>0</v>
      </c>
      <c r="J102" s="321">
        <f t="shared" si="11"/>
        <v>6.6973440000000002</v>
      </c>
      <c r="K102" s="321">
        <f t="shared" si="5"/>
        <v>0</v>
      </c>
      <c r="L102" s="321">
        <f t="shared" si="12"/>
        <v>5.5043796</v>
      </c>
      <c r="M102" s="321">
        <f t="shared" si="7"/>
        <v>0</v>
      </c>
      <c r="N102" s="321">
        <f t="shared" si="13"/>
        <v>4.5834947999999995</v>
      </c>
      <c r="O102" s="321">
        <f t="shared" si="9"/>
        <v>0</v>
      </c>
      <c r="P102" s="526"/>
    </row>
    <row r="103" spans="1:16" ht="13.5" thickBot="1">
      <c r="A103" s="1086"/>
      <c r="B103" s="316"/>
      <c r="C103" s="476" t="s">
        <v>3880</v>
      </c>
      <c r="D103" s="478" t="s">
        <v>225</v>
      </c>
      <c r="E103" s="480">
        <v>132.68</v>
      </c>
      <c r="F103" s="320">
        <f t="shared" si="0"/>
        <v>79.608000000000004</v>
      </c>
      <c r="G103" s="322">
        <f t="shared" si="1"/>
        <v>0</v>
      </c>
      <c r="H103" s="321">
        <f t="shared" si="10"/>
        <v>6.7268760000000007</v>
      </c>
      <c r="I103" s="321">
        <f t="shared" si="3"/>
        <v>0</v>
      </c>
      <c r="J103" s="344">
        <f t="shared" si="11"/>
        <v>2.5474560000000004</v>
      </c>
      <c r="K103" s="321">
        <f t="shared" si="5"/>
        <v>0</v>
      </c>
      <c r="L103" s="321">
        <f t="shared" si="12"/>
        <v>2.0936904000000003</v>
      </c>
      <c r="M103" s="321">
        <f t="shared" si="7"/>
        <v>0</v>
      </c>
      <c r="N103" s="344">
        <f t="shared" si="13"/>
        <v>1.7434152000000001</v>
      </c>
      <c r="O103" s="321">
        <f t="shared" si="9"/>
        <v>0</v>
      </c>
      <c r="P103" s="526"/>
    </row>
    <row r="104" spans="1:16" s="315" customFormat="1" ht="13.5" thickBot="1">
      <c r="A104" s="1087"/>
      <c r="B104" s="319"/>
      <c r="C104" s="336" t="s">
        <v>369</v>
      </c>
      <c r="D104" s="337" t="s">
        <v>3913</v>
      </c>
      <c r="E104" s="338">
        <v>5896.77</v>
      </c>
      <c r="F104" s="320">
        <f t="shared" si="0"/>
        <v>3538.0620000000004</v>
      </c>
      <c r="G104" s="322">
        <f t="shared" si="1"/>
        <v>0</v>
      </c>
      <c r="H104" s="321">
        <f t="shared" si="10"/>
        <v>298.96623900000003</v>
      </c>
      <c r="I104" s="321">
        <f t="shared" si="3"/>
        <v>0</v>
      </c>
      <c r="J104" s="321">
        <f t="shared" si="11"/>
        <v>113.21798400000002</v>
      </c>
      <c r="K104" s="321">
        <f t="shared" si="5"/>
        <v>0</v>
      </c>
      <c r="L104" s="321">
        <f t="shared" si="12"/>
        <v>93.051030600000004</v>
      </c>
      <c r="M104" s="321">
        <f t="shared" si="7"/>
        <v>0</v>
      </c>
      <c r="N104" s="321">
        <f t="shared" si="13"/>
        <v>77.4835578</v>
      </c>
      <c r="O104" s="321">
        <f t="shared" si="9"/>
        <v>0</v>
      </c>
      <c r="P104" s="526"/>
    </row>
    <row r="105" spans="1:16" s="315" customFormat="1" ht="15">
      <c r="B105" s="256"/>
      <c r="C105" s="256"/>
      <c r="D105" s="1008" t="s">
        <v>65</v>
      </c>
      <c r="E105" s="1008"/>
      <c r="F105" s="1008"/>
      <c r="G105" s="328">
        <f t="array" ref="G105">SUM(G49:G104)+G37:G49:G104+G41:G49:G104+G45</f>
        <v>0</v>
      </c>
      <c r="H105" s="329" t="s">
        <v>66</v>
      </c>
      <c r="I105" s="328">
        <f t="array" ref="I105">SUM(I49:I104)+I37:I49:I104+I41:I49:I104+I45</f>
        <v>0</v>
      </c>
      <c r="J105" s="329" t="s">
        <v>67</v>
      </c>
      <c r="K105" s="328">
        <f t="array" ref="K105">SUM(K49:K104)+K37:K49:K104+K41:K49:K104+K45</f>
        <v>0</v>
      </c>
      <c r="L105" s="329" t="s">
        <v>68</v>
      </c>
      <c r="M105" s="328">
        <f t="array" ref="M105">SUM(M49:M104)+M37:M49:M104+M41:M49:M104+M45</f>
        <v>0</v>
      </c>
      <c r="N105" s="329" t="s">
        <v>69</v>
      </c>
      <c r="O105" s="328">
        <f t="array" ref="O105">SUM(O49:O104)+O37:O49:O104+O41:O49:O104+O45</f>
        <v>0</v>
      </c>
    </row>
    <row r="106" spans="1:16">
      <c r="F106" s="330"/>
      <c r="G106" s="330"/>
      <c r="H106" s="331"/>
    </row>
    <row r="107" spans="1:16" ht="15" customHeight="1">
      <c r="B107" s="332"/>
      <c r="F107" s="330"/>
      <c r="G107" s="330"/>
    </row>
    <row r="108" spans="1:16" ht="15" customHeight="1">
      <c r="B108" s="332"/>
      <c r="F108" s="330"/>
      <c r="G108" s="330"/>
    </row>
    <row r="109" spans="1:16">
      <c r="F109" s="330"/>
      <c r="G109" s="330"/>
    </row>
    <row r="110" spans="1:16">
      <c r="F110" s="330"/>
      <c r="G110" s="330"/>
    </row>
    <row r="111" spans="1:16">
      <c r="F111" s="330"/>
      <c r="G111" s="330"/>
    </row>
    <row r="112" spans="1:16">
      <c r="F112" s="330"/>
      <c r="G112" s="330"/>
    </row>
    <row r="113" spans="2:7">
      <c r="F113" s="330"/>
      <c r="G113" s="330"/>
    </row>
    <row r="114" spans="2:7">
      <c r="F114" s="330"/>
      <c r="G114" s="330"/>
    </row>
    <row r="115" spans="2:7">
      <c r="F115" s="330"/>
      <c r="G115" s="330"/>
    </row>
    <row r="116" spans="2:7">
      <c r="F116" s="330"/>
      <c r="G116" s="330"/>
    </row>
    <row r="117" spans="2:7">
      <c r="F117" s="330"/>
      <c r="G117" s="330"/>
    </row>
    <row r="118" spans="2:7">
      <c r="F118" s="330"/>
      <c r="G118" s="330"/>
    </row>
    <row r="119" spans="2:7">
      <c r="F119" s="330"/>
      <c r="G119" s="330"/>
    </row>
    <row r="120" spans="2:7">
      <c r="F120" s="330"/>
      <c r="G120" s="330"/>
    </row>
    <row r="121" spans="2:7">
      <c r="F121" s="330"/>
      <c r="G121" s="330"/>
    </row>
    <row r="122" spans="2:7">
      <c r="F122" s="330"/>
      <c r="G122" s="330"/>
    </row>
    <row r="123" spans="2:7">
      <c r="F123" s="330"/>
      <c r="G123" s="330"/>
    </row>
    <row r="124" spans="2:7">
      <c r="B124" s="332"/>
      <c r="C124" s="332"/>
      <c r="F124" s="330"/>
      <c r="G124" s="330"/>
    </row>
    <row r="125" spans="2:7">
      <c r="F125" s="330"/>
      <c r="G125" s="330"/>
    </row>
    <row r="126" spans="2:7">
      <c r="F126" s="330"/>
      <c r="G126" s="330"/>
    </row>
    <row r="127" spans="2:7">
      <c r="F127" s="330"/>
      <c r="G127" s="330"/>
    </row>
    <row r="128" spans="2:7">
      <c r="F128" s="330"/>
      <c r="G128" s="330"/>
    </row>
    <row r="129" spans="6:7">
      <c r="F129" s="330"/>
      <c r="G129" s="330"/>
    </row>
    <row r="130" spans="6:7">
      <c r="F130" s="330"/>
      <c r="G130" s="330"/>
    </row>
    <row r="131" spans="6:7">
      <c r="F131" s="330"/>
      <c r="G131" s="330"/>
    </row>
    <row r="132" spans="6:7">
      <c r="F132" s="330"/>
      <c r="G132" s="330"/>
    </row>
    <row r="133" spans="6:7">
      <c r="F133" s="330"/>
      <c r="G133" s="330"/>
    </row>
    <row r="134" spans="6:7">
      <c r="F134" s="330"/>
      <c r="G134" s="330"/>
    </row>
    <row r="135" spans="6:7">
      <c r="F135" s="330"/>
      <c r="G135" s="330"/>
    </row>
    <row r="136" spans="6:7">
      <c r="F136" s="330"/>
      <c r="G136" s="330"/>
    </row>
    <row r="137" spans="6:7">
      <c r="F137" s="330"/>
      <c r="G137" s="330"/>
    </row>
    <row r="138" spans="6:7">
      <c r="F138" s="330"/>
      <c r="G138" s="330"/>
    </row>
    <row r="139" spans="6:7">
      <c r="F139" s="330"/>
      <c r="G139" s="330"/>
    </row>
    <row r="140" spans="6:7">
      <c r="F140" s="330"/>
      <c r="G140" s="330"/>
    </row>
    <row r="141" spans="6:7">
      <c r="F141" s="330"/>
      <c r="G141" s="330"/>
    </row>
    <row r="142" spans="6:7">
      <c r="F142" s="330"/>
      <c r="G142" s="330"/>
    </row>
    <row r="143" spans="6:7">
      <c r="F143" s="330"/>
      <c r="G143" s="330"/>
    </row>
    <row r="144" spans="6:7">
      <c r="F144" s="330"/>
      <c r="G144" s="330"/>
    </row>
    <row r="145" spans="6:7">
      <c r="F145" s="330"/>
      <c r="G145" s="330"/>
    </row>
    <row r="146" spans="6:7">
      <c r="F146" s="330"/>
      <c r="G146" s="330"/>
    </row>
    <row r="147" spans="6:7">
      <c r="F147" s="330"/>
      <c r="G147" s="330"/>
    </row>
    <row r="148" spans="6:7">
      <c r="F148" s="330"/>
      <c r="G148" s="330"/>
    </row>
    <row r="149" spans="6:7">
      <c r="F149" s="330"/>
      <c r="G149" s="330"/>
    </row>
    <row r="150" spans="6:7">
      <c r="F150" s="330"/>
      <c r="G150" s="330"/>
    </row>
    <row r="151" spans="6:7">
      <c r="F151" s="330"/>
      <c r="G151" s="330"/>
    </row>
    <row r="152" spans="6:7">
      <c r="F152" s="330"/>
      <c r="G152" s="330"/>
    </row>
    <row r="153" spans="6:7">
      <c r="F153" s="330"/>
      <c r="G153" s="330"/>
    </row>
    <row r="154" spans="6:7">
      <c r="F154" s="330"/>
      <c r="G154" s="330"/>
    </row>
    <row r="155" spans="6:7">
      <c r="F155" s="330"/>
      <c r="G155" s="330"/>
    </row>
    <row r="156" spans="6:7">
      <c r="F156" s="330"/>
      <c r="G156" s="330"/>
    </row>
    <row r="157" spans="6:7">
      <c r="F157" s="330"/>
      <c r="G157" s="330"/>
    </row>
    <row r="158" spans="6:7">
      <c r="F158" s="330"/>
      <c r="G158" s="330"/>
    </row>
    <row r="159" spans="6:7">
      <c r="F159" s="330"/>
      <c r="G159" s="330"/>
    </row>
    <row r="160" spans="6:7">
      <c r="F160" s="330"/>
      <c r="G160" s="330"/>
    </row>
    <row r="161" spans="6:7">
      <c r="F161" s="330"/>
      <c r="G161" s="330"/>
    </row>
    <row r="162" spans="6:7">
      <c r="F162" s="330"/>
      <c r="G162" s="330"/>
    </row>
    <row r="163" spans="6:7">
      <c r="F163" s="330"/>
      <c r="G163" s="330"/>
    </row>
    <row r="164" spans="6:7">
      <c r="F164" s="330"/>
      <c r="G164" s="330"/>
    </row>
    <row r="165" spans="6:7">
      <c r="F165" s="330"/>
      <c r="G165" s="330"/>
    </row>
    <row r="166" spans="6:7">
      <c r="F166" s="330"/>
      <c r="G166" s="330"/>
    </row>
    <row r="167" spans="6:7">
      <c r="F167" s="330"/>
      <c r="G167" s="330"/>
    </row>
    <row r="168" spans="6:7">
      <c r="F168" s="330"/>
      <c r="G168" s="330"/>
    </row>
    <row r="169" spans="6:7">
      <c r="F169" s="330"/>
      <c r="G169" s="330"/>
    </row>
    <row r="170" spans="6:7">
      <c r="F170" s="330"/>
      <c r="G170" s="330"/>
    </row>
    <row r="171" spans="6:7">
      <c r="F171" s="330"/>
      <c r="G171" s="330"/>
    </row>
    <row r="172" spans="6:7">
      <c r="F172" s="330"/>
      <c r="G172" s="330"/>
    </row>
    <row r="173" spans="6:7">
      <c r="F173" s="330"/>
      <c r="G173" s="330"/>
    </row>
    <row r="174" spans="6:7">
      <c r="F174" s="330"/>
      <c r="G174" s="330"/>
    </row>
    <row r="175" spans="6:7">
      <c r="F175" s="330"/>
      <c r="G175" s="330"/>
    </row>
    <row r="176" spans="6:7">
      <c r="F176" s="330"/>
      <c r="G176" s="330"/>
    </row>
    <row r="177" spans="6:7">
      <c r="F177" s="330"/>
      <c r="G177" s="330"/>
    </row>
    <row r="178" spans="6:7">
      <c r="F178" s="330"/>
      <c r="G178" s="330"/>
    </row>
    <row r="179" spans="6:7">
      <c r="F179" s="330"/>
      <c r="G179" s="330"/>
    </row>
    <row r="180" spans="6:7">
      <c r="F180" s="330"/>
      <c r="G180" s="330"/>
    </row>
    <row r="181" spans="6:7">
      <c r="F181" s="330"/>
      <c r="G181" s="330"/>
    </row>
    <row r="182" spans="6:7">
      <c r="F182" s="330"/>
      <c r="G182" s="330"/>
    </row>
    <row r="183" spans="6:7">
      <c r="F183" s="330"/>
      <c r="G183" s="330"/>
    </row>
    <row r="184" spans="6:7">
      <c r="F184" s="330"/>
      <c r="G184" s="330"/>
    </row>
    <row r="185" spans="6:7">
      <c r="F185" s="330"/>
      <c r="G185" s="330"/>
    </row>
    <row r="186" spans="6:7">
      <c r="F186" s="330"/>
      <c r="G186" s="330"/>
    </row>
    <row r="187" spans="6:7">
      <c r="F187" s="330"/>
      <c r="G187" s="330"/>
    </row>
    <row r="188" spans="6:7">
      <c r="F188" s="330"/>
      <c r="G188" s="330"/>
    </row>
    <row r="189" spans="6:7">
      <c r="F189" s="330"/>
      <c r="G189" s="330"/>
    </row>
    <row r="190" spans="6:7">
      <c r="F190" s="330"/>
      <c r="G190" s="330"/>
    </row>
    <row r="191" spans="6:7">
      <c r="F191" s="330"/>
      <c r="G191" s="330"/>
    </row>
    <row r="192" spans="6:7">
      <c r="F192" s="330"/>
      <c r="G192" s="330"/>
    </row>
    <row r="193" spans="6:7">
      <c r="F193" s="330"/>
      <c r="G193" s="330"/>
    </row>
    <row r="194" spans="6:7">
      <c r="F194" s="330"/>
      <c r="G194" s="330"/>
    </row>
    <row r="195" spans="6:7">
      <c r="F195" s="330"/>
      <c r="G195" s="330"/>
    </row>
    <row r="196" spans="6:7">
      <c r="F196" s="330"/>
      <c r="G196" s="330"/>
    </row>
    <row r="197" spans="6:7">
      <c r="F197" s="330"/>
      <c r="G197" s="330"/>
    </row>
    <row r="198" spans="6:7">
      <c r="F198" s="330"/>
      <c r="G198" s="330"/>
    </row>
    <row r="199" spans="6:7">
      <c r="F199" s="330"/>
      <c r="G199" s="330"/>
    </row>
    <row r="200" spans="6:7">
      <c r="F200" s="330"/>
      <c r="G200" s="330"/>
    </row>
    <row r="201" spans="6:7">
      <c r="F201" s="330"/>
      <c r="G201" s="330"/>
    </row>
    <row r="202" spans="6:7">
      <c r="F202" s="330"/>
      <c r="G202" s="330"/>
    </row>
    <row r="203" spans="6:7">
      <c r="F203" s="330"/>
      <c r="G203" s="330"/>
    </row>
    <row r="204" spans="6:7">
      <c r="F204" s="330"/>
      <c r="G204" s="330"/>
    </row>
    <row r="205" spans="6:7">
      <c r="F205" s="330"/>
      <c r="G205" s="330"/>
    </row>
    <row r="206" spans="6:7">
      <c r="F206" s="330"/>
      <c r="G206" s="330"/>
    </row>
    <row r="207" spans="6:7">
      <c r="F207" s="330"/>
      <c r="G207" s="330"/>
    </row>
    <row r="208" spans="6:7">
      <c r="F208" s="330"/>
      <c r="G208" s="330"/>
    </row>
    <row r="209" spans="6:7">
      <c r="F209" s="330"/>
      <c r="G209" s="330"/>
    </row>
    <row r="210" spans="6:7">
      <c r="F210" s="330"/>
      <c r="G210" s="330"/>
    </row>
  </sheetData>
  <mergeCells count="58">
    <mergeCell ref="A4:O4"/>
    <mergeCell ref="A5:O5"/>
    <mergeCell ref="F10:I10"/>
    <mergeCell ref="A26:O26"/>
    <mergeCell ref="A27:D27"/>
    <mergeCell ref="E27:K27"/>
    <mergeCell ref="L27:O27"/>
    <mergeCell ref="A29:C29"/>
    <mergeCell ref="E29:H29"/>
    <mergeCell ref="I29:K29"/>
    <mergeCell ref="L29:M29"/>
    <mergeCell ref="N29:O29"/>
    <mergeCell ref="A28:C28"/>
    <mergeCell ref="E28:H28"/>
    <mergeCell ref="I28:K28"/>
    <mergeCell ref="L28:M28"/>
    <mergeCell ref="N28:O28"/>
    <mergeCell ref="H35:O35"/>
    <mergeCell ref="A30:C30"/>
    <mergeCell ref="E30:H30"/>
    <mergeCell ref="I30:K30"/>
    <mergeCell ref="L30:M30"/>
    <mergeCell ref="N30:O30"/>
    <mergeCell ref="A31:C31"/>
    <mergeCell ref="E31:H31"/>
    <mergeCell ref="I31:K31"/>
    <mergeCell ref="L31:M31"/>
    <mergeCell ref="N31:O31"/>
    <mergeCell ref="A32:C32"/>
    <mergeCell ref="E32:H32"/>
    <mergeCell ref="I32:K32"/>
    <mergeCell ref="L32:M32"/>
    <mergeCell ref="N32:O32"/>
    <mergeCell ref="K41:K43"/>
    <mergeCell ref="M41:M43"/>
    <mergeCell ref="O41:O43"/>
    <mergeCell ref="A37:A39"/>
    <mergeCell ref="B37:B39"/>
    <mergeCell ref="G37:G39"/>
    <mergeCell ref="I37:I39"/>
    <mergeCell ref="K37:K39"/>
    <mergeCell ref="M37:M39"/>
    <mergeCell ref="F35:G35"/>
    <mergeCell ref="O45:O47"/>
    <mergeCell ref="A48:O48"/>
    <mergeCell ref="A49:A104"/>
    <mergeCell ref="D105:F105"/>
    <mergeCell ref="A45:A47"/>
    <mergeCell ref="B45:B47"/>
    <mergeCell ref="G45:G47"/>
    <mergeCell ref="I45:I47"/>
    <mergeCell ref="K45:K47"/>
    <mergeCell ref="M45:M47"/>
    <mergeCell ref="O37:O39"/>
    <mergeCell ref="A41:A43"/>
    <mergeCell ref="B41:B43"/>
    <mergeCell ref="G41:G43"/>
    <mergeCell ref="I41:I43"/>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2">
    <tabColor indexed="62"/>
  </sheetPr>
  <dimension ref="A1:P201"/>
  <sheetViews>
    <sheetView topLeftCell="A19" zoomScaleNormal="100" workbookViewId="0">
      <selection activeCell="E37" sqref="E37:F37"/>
    </sheetView>
  </sheetViews>
  <sheetFormatPr defaultColWidth="8.85546875" defaultRowHeight="12.75"/>
  <cols>
    <col min="1" max="1" width="14.28515625" style="73" customWidth="1"/>
    <col min="2" max="2" width="8.7109375" style="73" customWidth="1"/>
    <col min="3" max="3" width="21.28515625" style="73" bestFit="1" customWidth="1"/>
    <col min="4" max="4" width="46.7109375" style="73" customWidth="1"/>
    <col min="5" max="5" width="24" style="73" customWidth="1"/>
    <col min="6" max="6" width="18.28515625" style="130" customWidth="1"/>
    <col min="7" max="7" width="16" style="130" customWidth="1"/>
    <col min="8" max="8" width="24.5703125" style="73" bestFit="1" customWidth="1"/>
    <col min="9" max="9" width="23" style="73" customWidth="1"/>
    <col min="10" max="10" width="25" style="73" bestFit="1" customWidth="1"/>
    <col min="11" max="11" width="23" style="73" customWidth="1"/>
    <col min="12" max="12" width="25" style="73" bestFit="1" customWidth="1"/>
    <col min="13" max="13" width="23" style="73" customWidth="1"/>
    <col min="14" max="14" width="25" style="73" bestFit="1" customWidth="1"/>
    <col min="15" max="15" width="23" style="73" customWidth="1"/>
    <col min="16" max="16" width="12.42578125" style="73" customWidth="1"/>
    <col min="17" max="16384" width="8.85546875" style="73"/>
  </cols>
  <sheetData>
    <row r="1" spans="1:15" ht="13.5" thickBot="1">
      <c r="B1" s="74"/>
      <c r="C1" s="74"/>
      <c r="D1" s="75"/>
      <c r="E1" s="75"/>
      <c r="F1" s="76"/>
      <c r="G1" s="76"/>
      <c r="H1" s="76"/>
      <c r="I1" s="76"/>
      <c r="J1" s="76"/>
      <c r="K1" s="75"/>
      <c r="L1" s="76"/>
    </row>
    <row r="2" spans="1:15" ht="9" customHeight="1">
      <c r="A2" s="77"/>
      <c r="B2" s="78"/>
      <c r="C2" s="78"/>
      <c r="D2" s="79"/>
      <c r="E2" s="79"/>
      <c r="F2" s="80"/>
      <c r="G2" s="80"/>
      <c r="H2" s="80"/>
      <c r="I2" s="81"/>
      <c r="J2" s="81"/>
      <c r="K2" s="81"/>
      <c r="L2" s="81"/>
      <c r="M2" s="77"/>
      <c r="N2" s="77"/>
      <c r="O2" s="77"/>
    </row>
    <row r="3" spans="1:15" ht="10.5" customHeight="1">
      <c r="B3" s="74"/>
      <c r="C3" s="74"/>
      <c r="D3" s="75"/>
      <c r="E3" s="75"/>
      <c r="F3" s="76"/>
      <c r="G3" s="76"/>
      <c r="H3" s="76"/>
      <c r="I3" s="82"/>
      <c r="J3" s="82"/>
      <c r="K3" s="82"/>
      <c r="L3" s="82"/>
    </row>
    <row r="4" spans="1:15" ht="27">
      <c r="A4" s="1130" t="s">
        <v>452</v>
      </c>
      <c r="B4" s="964"/>
      <c r="C4" s="964"/>
      <c r="D4" s="964"/>
      <c r="E4" s="964"/>
      <c r="F4" s="964"/>
      <c r="G4" s="964"/>
      <c r="H4" s="964"/>
      <c r="I4" s="964"/>
      <c r="J4" s="964"/>
      <c r="K4" s="964"/>
      <c r="L4" s="964"/>
      <c r="M4" s="964"/>
      <c r="N4" s="964"/>
      <c r="O4" s="964"/>
    </row>
    <row r="5" spans="1:15" s="83" customFormat="1" ht="61.5" customHeight="1">
      <c r="A5" s="996" t="s">
        <v>453</v>
      </c>
      <c r="B5" s="1203"/>
      <c r="C5" s="1203"/>
      <c r="D5" s="1203"/>
      <c r="E5" s="1203"/>
      <c r="F5" s="1203"/>
      <c r="G5" s="1203"/>
      <c r="H5" s="1203"/>
      <c r="I5" s="1203"/>
      <c r="J5" s="1203"/>
      <c r="K5" s="1203"/>
      <c r="L5" s="1203"/>
      <c r="M5" s="1203"/>
      <c r="N5" s="1203"/>
      <c r="O5" s="1203"/>
    </row>
    <row r="6" spans="1:15" ht="9" customHeight="1" thickBot="1">
      <c r="A6" s="84"/>
      <c r="B6" s="84"/>
      <c r="C6" s="84"/>
      <c r="D6" s="84"/>
      <c r="E6" s="84"/>
      <c r="F6" s="84"/>
      <c r="G6" s="84"/>
      <c r="H6" s="84"/>
      <c r="I6" s="84"/>
      <c r="J6" s="84"/>
      <c r="K6" s="84"/>
      <c r="L6" s="84"/>
      <c r="M6" s="84"/>
      <c r="N6" s="84"/>
      <c r="O6" s="84"/>
    </row>
    <row r="9" spans="1:15" s="82" customFormat="1" ht="14.25">
      <c r="B9" s="89"/>
      <c r="C9" s="89"/>
      <c r="D9" s="90"/>
      <c r="E9" s="90"/>
      <c r="F9" s="90"/>
      <c r="G9" s="90"/>
      <c r="H9" s="90"/>
      <c r="I9" s="90"/>
      <c r="J9" s="90"/>
      <c r="K9" s="90"/>
      <c r="L9" s="90"/>
      <c r="M9" s="90"/>
      <c r="N9" s="90"/>
      <c r="O9" s="90"/>
    </row>
    <row r="10" spans="1:15" s="82" customFormat="1" ht="14.25">
      <c r="F10" s="994" t="s">
        <v>0</v>
      </c>
      <c r="G10" s="994"/>
      <c r="H10" s="994"/>
      <c r="I10" s="964"/>
      <c r="J10" s="73"/>
      <c r="K10" s="73"/>
      <c r="L10" s="73"/>
    </row>
    <row r="11" spans="1:15" s="82" customFormat="1" ht="14.25">
      <c r="F11" s="92" t="s">
        <v>261</v>
      </c>
      <c r="G11" s="82" t="s">
        <v>454</v>
      </c>
      <c r="I11" s="241"/>
      <c r="L11" s="241"/>
    </row>
    <row r="12" spans="1:15" s="82" customFormat="1" ht="14.25">
      <c r="F12" s="92" t="s">
        <v>263</v>
      </c>
      <c r="G12" s="82" t="s">
        <v>455</v>
      </c>
      <c r="I12" s="241"/>
      <c r="J12" s="100"/>
      <c r="L12" s="241"/>
    </row>
    <row r="13" spans="1:15" s="82" customFormat="1" ht="14.25">
      <c r="F13" s="92" t="s">
        <v>265</v>
      </c>
      <c r="G13" s="82" t="s">
        <v>180</v>
      </c>
      <c r="I13" s="241"/>
      <c r="L13" s="241"/>
    </row>
    <row r="14" spans="1:15" s="82" customFormat="1" ht="14.25">
      <c r="F14" s="92" t="s">
        <v>7</v>
      </c>
      <c r="G14" s="82" t="s">
        <v>446</v>
      </c>
      <c r="I14" s="241"/>
      <c r="J14" s="241"/>
      <c r="L14" s="241"/>
    </row>
    <row r="15" spans="1:15" s="82" customFormat="1" ht="14.25">
      <c r="D15" s="242"/>
      <c r="E15" s="242"/>
      <c r="F15" s="92" t="s">
        <v>8</v>
      </c>
      <c r="G15" s="82" t="s">
        <v>456</v>
      </c>
      <c r="I15" s="241"/>
      <c r="J15" s="241"/>
      <c r="L15" s="241"/>
    </row>
    <row r="16" spans="1:15" s="82" customFormat="1" ht="14.25">
      <c r="F16" s="92" t="s">
        <v>10</v>
      </c>
      <c r="G16" s="82" t="s">
        <v>457</v>
      </c>
      <c r="I16" s="241"/>
      <c r="J16" s="241"/>
      <c r="L16" s="241"/>
    </row>
    <row r="17" spans="1:15" s="82" customFormat="1" ht="14.25">
      <c r="F17" s="92" t="s">
        <v>409</v>
      </c>
      <c r="G17" s="82" t="s">
        <v>458</v>
      </c>
      <c r="I17" s="241"/>
      <c r="J17" s="241"/>
      <c r="L17" s="241"/>
    </row>
    <row r="18" spans="1:15" s="82" customFormat="1" ht="14.25">
      <c r="F18" s="92" t="s">
        <v>185</v>
      </c>
      <c r="G18" s="82" t="s">
        <v>459</v>
      </c>
      <c r="I18" s="91"/>
      <c r="J18" s="91"/>
      <c r="L18" s="91"/>
    </row>
    <row r="19" spans="1:15" s="82" customFormat="1" ht="14.25">
      <c r="F19" s="92"/>
      <c r="G19" s="82" t="s">
        <v>460</v>
      </c>
      <c r="I19" s="91"/>
      <c r="J19" s="91"/>
      <c r="L19" s="91"/>
    </row>
    <row r="20" spans="1:15" s="82" customFormat="1" ht="14.25">
      <c r="F20" s="92" t="s">
        <v>14</v>
      </c>
      <c r="G20" s="82" t="s">
        <v>413</v>
      </c>
      <c r="I20" s="91"/>
      <c r="J20" s="91"/>
      <c r="L20" s="91"/>
    </row>
    <row r="21" spans="1:15" s="82" customFormat="1" ht="14.25">
      <c r="F21" s="95"/>
      <c r="G21" s="82" t="s">
        <v>414</v>
      </c>
      <c r="I21" s="91"/>
      <c r="J21" s="91"/>
      <c r="L21" s="91"/>
    </row>
    <row r="22" spans="1:15" s="82" customFormat="1" ht="14.25">
      <c r="F22" s="92" t="s">
        <v>18</v>
      </c>
      <c r="G22" s="82" t="s">
        <v>273</v>
      </c>
      <c r="I22" s="91"/>
      <c r="J22" s="91"/>
      <c r="L22" s="91"/>
    </row>
    <row r="23" spans="1:15" s="82" customFormat="1" ht="14.25">
      <c r="F23" s="92" t="s">
        <v>276</v>
      </c>
      <c r="G23" s="82" t="s">
        <v>461</v>
      </c>
      <c r="I23" s="91"/>
      <c r="J23" s="91"/>
      <c r="L23" s="91"/>
    </row>
    <row r="24" spans="1:15" s="82" customFormat="1" ht="14.25">
      <c r="F24" s="92" t="s">
        <v>26</v>
      </c>
      <c r="G24" s="82" t="s">
        <v>462</v>
      </c>
      <c r="I24" s="91"/>
      <c r="J24" s="91"/>
      <c r="L24" s="91"/>
    </row>
    <row r="25" spans="1:15" s="82" customFormat="1" ht="14.25">
      <c r="D25" s="105"/>
      <c r="E25" s="105"/>
      <c r="F25" s="92" t="s">
        <v>28</v>
      </c>
      <c r="G25" s="163" t="s">
        <v>463</v>
      </c>
      <c r="K25" s="91"/>
    </row>
    <row r="26" spans="1:15" s="82" customFormat="1" ht="15" thickBot="1">
      <c r="A26" s="1111" t="s">
        <v>30</v>
      </c>
      <c r="B26" s="1033"/>
      <c r="C26" s="1033"/>
      <c r="D26" s="1033"/>
      <c r="E26" s="1033"/>
      <c r="F26" s="1033"/>
      <c r="G26" s="1033"/>
      <c r="H26" s="1033"/>
      <c r="I26" s="1033"/>
      <c r="J26" s="1033"/>
      <c r="K26" s="1033"/>
      <c r="L26" s="1033"/>
      <c r="M26" s="1033"/>
      <c r="N26" s="1033"/>
      <c r="O26" s="1033"/>
    </row>
    <row r="27" spans="1:15" s="82" customFormat="1" ht="14.25">
      <c r="A27" s="1105" t="s">
        <v>417</v>
      </c>
      <c r="B27" s="1106"/>
      <c r="C27" s="1106"/>
      <c r="D27" s="1107"/>
      <c r="E27" s="1108" t="s">
        <v>418</v>
      </c>
      <c r="F27" s="1010"/>
      <c r="G27" s="1010"/>
      <c r="H27" s="1010"/>
      <c r="I27" s="1010"/>
      <c r="J27" s="1010"/>
      <c r="K27" s="1109"/>
      <c r="L27" s="1105" t="s">
        <v>419</v>
      </c>
      <c r="M27" s="1010"/>
      <c r="N27" s="1010"/>
      <c r="O27" s="1109"/>
    </row>
    <row r="28" spans="1:15" s="82" customFormat="1" ht="12.75" customHeight="1">
      <c r="A28" s="1028" t="s">
        <v>33</v>
      </c>
      <c r="B28" s="1029"/>
      <c r="C28" s="1029"/>
      <c r="D28" s="279" t="s">
        <v>34</v>
      </c>
      <c r="E28" s="1028" t="s">
        <v>33</v>
      </c>
      <c r="F28" s="1020"/>
      <c r="G28" s="1020"/>
      <c r="H28" s="1020"/>
      <c r="I28" s="1093" t="s">
        <v>35</v>
      </c>
      <c r="J28" s="1115"/>
      <c r="K28" s="1094"/>
      <c r="L28" s="1028" t="s">
        <v>33</v>
      </c>
      <c r="M28" s="1020"/>
      <c r="N28" s="1095" t="s">
        <v>35</v>
      </c>
      <c r="O28" s="1096"/>
    </row>
    <row r="29" spans="1:15" s="82" customFormat="1" ht="12.75" customHeight="1">
      <c r="A29" s="1028" t="s">
        <v>199</v>
      </c>
      <c r="B29" s="1029"/>
      <c r="C29" s="1029"/>
      <c r="D29" s="280">
        <v>0</v>
      </c>
      <c r="E29" s="1028" t="s">
        <v>199</v>
      </c>
      <c r="F29" s="1020"/>
      <c r="G29" s="1020"/>
      <c r="H29" s="1020"/>
      <c r="I29" s="1102">
        <v>856</v>
      </c>
      <c r="J29" s="1115"/>
      <c r="K29" s="1094"/>
      <c r="L29" s="1028" t="s">
        <v>199</v>
      </c>
      <c r="M29" s="1020"/>
      <c r="N29" s="1103">
        <v>1127</v>
      </c>
      <c r="O29" s="1104"/>
    </row>
    <row r="30" spans="1:15" s="82" customFormat="1" ht="12.75" customHeight="1">
      <c r="A30" s="1028" t="s">
        <v>37</v>
      </c>
      <c r="B30" s="1029"/>
      <c r="C30" s="1029"/>
      <c r="D30" s="279" t="s">
        <v>38</v>
      </c>
      <c r="E30" s="1028" t="s">
        <v>37</v>
      </c>
      <c r="F30" s="1020"/>
      <c r="G30" s="1020"/>
      <c r="H30" s="1020"/>
      <c r="I30" s="1093" t="s">
        <v>396</v>
      </c>
      <c r="J30" s="1115"/>
      <c r="K30" s="1094"/>
      <c r="L30" s="1028" t="s">
        <v>37</v>
      </c>
      <c r="M30" s="1020"/>
      <c r="N30" s="1095" t="s">
        <v>397</v>
      </c>
      <c r="O30" s="1096"/>
    </row>
    <row r="31" spans="1:15" s="82" customFormat="1" ht="12.75" customHeight="1">
      <c r="A31" s="1028" t="s">
        <v>202</v>
      </c>
      <c r="B31" s="1029"/>
      <c r="C31" s="1029"/>
      <c r="D31" s="279" t="s">
        <v>420</v>
      </c>
      <c r="E31" s="1028" t="s">
        <v>204</v>
      </c>
      <c r="F31" s="1020"/>
      <c r="G31" s="1020"/>
      <c r="H31" s="1020"/>
      <c r="I31" s="1093" t="s">
        <v>421</v>
      </c>
      <c r="J31" s="1115"/>
      <c r="K31" s="1094"/>
      <c r="L31" s="1028" t="s">
        <v>40</v>
      </c>
      <c r="M31" s="1020"/>
      <c r="N31" s="1095" t="s">
        <v>421</v>
      </c>
      <c r="O31" s="1096"/>
    </row>
    <row r="32" spans="1:15" s="82" customFormat="1" ht="12.75" customHeight="1" thickBot="1">
      <c r="A32" s="1031" t="s">
        <v>285</v>
      </c>
      <c r="B32" s="1032"/>
      <c r="C32" s="1032"/>
      <c r="D32" s="281" t="s">
        <v>286</v>
      </c>
      <c r="E32" s="1031" t="s">
        <v>285</v>
      </c>
      <c r="F32" s="1032"/>
      <c r="G32" s="1033"/>
      <c r="H32" s="1033"/>
      <c r="I32" s="1097" t="s">
        <v>287</v>
      </c>
      <c r="J32" s="1097"/>
      <c r="K32" s="1116"/>
      <c r="L32" s="1031" t="s">
        <v>285</v>
      </c>
      <c r="M32" s="1033"/>
      <c r="N32" s="1033" t="s">
        <v>287</v>
      </c>
      <c r="O32" s="1034"/>
    </row>
    <row r="33" spans="1:16" s="82" customFormat="1" ht="12.75" customHeight="1">
      <c r="B33" s="93"/>
      <c r="C33" s="93"/>
      <c r="D33" s="105"/>
      <c r="E33" s="105"/>
      <c r="F33" s="104"/>
      <c r="G33" s="104"/>
      <c r="I33" s="83"/>
      <c r="J33" s="83"/>
      <c r="K33" s="83"/>
      <c r="L33" s="83"/>
    </row>
    <row r="34" spans="1:16" s="82" customFormat="1" ht="18" customHeight="1" thickBot="1">
      <c r="C34" s="105"/>
      <c r="D34" s="104"/>
      <c r="E34" s="115"/>
      <c r="F34" s="73"/>
      <c r="G34" s="116"/>
      <c r="H34" s="117"/>
      <c r="I34" s="118"/>
      <c r="J34" s="119"/>
    </row>
    <row r="35" spans="1:16" s="82" customFormat="1" ht="15.75" customHeight="1" thickBot="1">
      <c r="F35" s="1202" t="s">
        <v>43</v>
      </c>
      <c r="G35" s="987"/>
      <c r="H35" s="991" t="s">
        <v>44</v>
      </c>
      <c r="I35" s="992"/>
      <c r="J35" s="1064"/>
      <c r="K35" s="982"/>
      <c r="L35" s="982"/>
      <c r="M35" s="982"/>
      <c r="N35" s="982"/>
      <c r="O35" s="983"/>
    </row>
    <row r="36" spans="1:16" s="120" customFormat="1" ht="57.75" customHeight="1" thickBot="1">
      <c r="A36" s="55" t="s">
        <v>45</v>
      </c>
      <c r="B36" s="55" t="s">
        <v>46</v>
      </c>
      <c r="C36" s="56" t="s">
        <v>47</v>
      </c>
      <c r="D36" s="56" t="s">
        <v>48</v>
      </c>
      <c r="E36" s="56" t="s">
        <v>49</v>
      </c>
      <c r="F36" s="56" t="s">
        <v>50</v>
      </c>
      <c r="G36" s="55" t="s">
        <v>51</v>
      </c>
      <c r="H36" s="56" t="s">
        <v>52</v>
      </c>
      <c r="I36" s="55" t="s">
        <v>51</v>
      </c>
      <c r="J36" s="56" t="s">
        <v>53</v>
      </c>
      <c r="K36" s="55" t="s">
        <v>51</v>
      </c>
      <c r="L36" s="56" t="s">
        <v>54</v>
      </c>
      <c r="M36" s="55" t="s">
        <v>51</v>
      </c>
      <c r="N36" s="56" t="s">
        <v>55</v>
      </c>
      <c r="O36" s="55" t="s">
        <v>51</v>
      </c>
    </row>
    <row r="37" spans="1:16" s="227" customFormat="1" ht="25.5" thickBot="1">
      <c r="A37" s="1055">
        <v>15</v>
      </c>
      <c r="B37" s="1201"/>
      <c r="C37" s="391" t="s">
        <v>464</v>
      </c>
      <c r="D37" s="243" t="s">
        <v>465</v>
      </c>
      <c r="E37" s="244">
        <v>48034.44</v>
      </c>
      <c r="F37" s="742">
        <f>SUM(E37:E38)*(1-77%)</f>
        <v>11107.4912</v>
      </c>
      <c r="G37" s="976">
        <f>F37*B37</f>
        <v>0</v>
      </c>
      <c r="H37" s="50">
        <f>F37*0.0845</f>
        <v>938.58300640000004</v>
      </c>
      <c r="I37" s="976">
        <f>H37*B37</f>
        <v>0</v>
      </c>
      <c r="J37" s="50">
        <f>F37*0.032</f>
        <v>355.4397184</v>
      </c>
      <c r="K37" s="976">
        <f>J37*B37</f>
        <v>0</v>
      </c>
      <c r="L37" s="13">
        <f>F37*0.0263</f>
        <v>292.12701856000001</v>
      </c>
      <c r="M37" s="976">
        <f>L37*B37</f>
        <v>0</v>
      </c>
      <c r="N37" s="13">
        <f>F37*0.0219</f>
        <v>243.25405728000001</v>
      </c>
      <c r="O37" s="976">
        <f>N37*B37</f>
        <v>0</v>
      </c>
    </row>
    <row r="38" spans="1:16" s="245" customFormat="1" ht="13.5" thickBot="1">
      <c r="A38" s="1200"/>
      <c r="B38" s="1142"/>
      <c r="C38" s="228" t="s">
        <v>56</v>
      </c>
      <c r="D38" s="766" t="s">
        <v>424</v>
      </c>
      <c r="E38" s="767">
        <v>259</v>
      </c>
      <c r="F38" s="768" t="s">
        <v>35</v>
      </c>
      <c r="G38" s="1051"/>
      <c r="H38" s="769" t="s">
        <v>35</v>
      </c>
      <c r="I38" s="1051"/>
      <c r="J38" s="769" t="s">
        <v>35</v>
      </c>
      <c r="K38" s="1051"/>
      <c r="L38" s="756" t="s">
        <v>35</v>
      </c>
      <c r="M38" s="1058"/>
      <c r="N38" s="756" t="s">
        <v>35</v>
      </c>
      <c r="O38" s="1058"/>
      <c r="P38" s="770"/>
    </row>
    <row r="39" spans="1:16" s="245" customFormat="1" ht="13.5" thickBot="1">
      <c r="A39" s="771"/>
      <c r="B39" s="67"/>
      <c r="C39" s="68"/>
      <c r="D39" s="772"/>
      <c r="E39" s="773"/>
      <c r="F39" s="774"/>
      <c r="G39" s="67"/>
      <c r="H39" s="749"/>
      <c r="I39" s="67"/>
      <c r="J39" s="749"/>
      <c r="K39" s="71"/>
      <c r="L39" s="750">
        <f>F39*0.0263</f>
        <v>0</v>
      </c>
      <c r="M39" s="67"/>
      <c r="N39" s="750"/>
      <c r="O39" s="71"/>
      <c r="P39" s="770"/>
    </row>
    <row r="40" spans="1:16" s="227" customFormat="1" ht="25.5" thickBot="1">
      <c r="A40" s="1055" t="s">
        <v>425</v>
      </c>
      <c r="B40" s="1201"/>
      <c r="C40" s="391" t="s">
        <v>464</v>
      </c>
      <c r="D40" s="243" t="s">
        <v>465</v>
      </c>
      <c r="E40" s="244">
        <v>48034.44</v>
      </c>
      <c r="F40" s="742">
        <f>SUM(E40:E41)*(1-77%)</f>
        <v>11107.4912</v>
      </c>
      <c r="G40" s="976">
        <f>F40*B40</f>
        <v>0</v>
      </c>
      <c r="H40" s="50">
        <f>F40*0.0845+I29/12</f>
        <v>1009.9163397333334</v>
      </c>
      <c r="I40" s="976">
        <f>H40*B40</f>
        <v>0</v>
      </c>
      <c r="J40" s="50">
        <f>F40*0.032+I29/12</f>
        <v>426.77305173333332</v>
      </c>
      <c r="K40" s="976">
        <f>J40*B40</f>
        <v>0</v>
      </c>
      <c r="L40" s="13">
        <f>F40*0.0263+I29/12</f>
        <v>363.46035189333332</v>
      </c>
      <c r="M40" s="976">
        <f>L40*B40</f>
        <v>0</v>
      </c>
      <c r="N40" s="13">
        <f>F40*0.0219+I29/12</f>
        <v>314.58739061333335</v>
      </c>
      <c r="O40" s="976">
        <f>N40*B40</f>
        <v>0</v>
      </c>
    </row>
    <row r="41" spans="1:16" s="245" customFormat="1" ht="13.5" thickBot="1">
      <c r="A41" s="1199"/>
      <c r="B41" s="1142"/>
      <c r="C41" s="228" t="s">
        <v>56</v>
      </c>
      <c r="D41" s="766" t="s">
        <v>424</v>
      </c>
      <c r="E41" s="767">
        <v>259</v>
      </c>
      <c r="F41" s="775" t="s">
        <v>35</v>
      </c>
      <c r="G41" s="1051"/>
      <c r="H41" s="759" t="s">
        <v>35</v>
      </c>
      <c r="I41" s="1051"/>
      <c r="J41" s="759" t="s">
        <v>35</v>
      </c>
      <c r="K41" s="1051"/>
      <c r="L41" s="761" t="s">
        <v>35</v>
      </c>
      <c r="M41" s="1051"/>
      <c r="N41" s="761" t="s">
        <v>35</v>
      </c>
      <c r="O41" s="1051"/>
      <c r="P41" s="770"/>
    </row>
    <row r="42" spans="1:16" s="245" customFormat="1" ht="13.5" thickBot="1">
      <c r="A42" s="771"/>
      <c r="B42" s="67"/>
      <c r="C42" s="68"/>
      <c r="D42" s="772"/>
      <c r="E42" s="773"/>
      <c r="F42" s="774"/>
      <c r="G42" s="22"/>
      <c r="H42" s="762"/>
      <c r="I42" s="22"/>
      <c r="J42" s="762"/>
      <c r="K42" s="23"/>
      <c r="L42" s="776"/>
      <c r="M42" s="22"/>
      <c r="N42" s="776"/>
      <c r="O42" s="23"/>
      <c r="P42" s="770"/>
    </row>
    <row r="43" spans="1:16" s="227" customFormat="1" ht="25.5" thickBot="1">
      <c r="A43" s="1055" t="s">
        <v>426</v>
      </c>
      <c r="B43" s="1201"/>
      <c r="C43" s="391" t="s">
        <v>464</v>
      </c>
      <c r="D43" s="243" t="s">
        <v>465</v>
      </c>
      <c r="E43" s="244">
        <v>48034.44</v>
      </c>
      <c r="F43" s="742">
        <f>SUM(E43:E44)*(1-77%)</f>
        <v>11107.4912</v>
      </c>
      <c r="G43" s="976">
        <f>F43*B43</f>
        <v>0</v>
      </c>
      <c r="H43" s="50">
        <f>F43*0.0845+N29/12</f>
        <v>1032.4996730666667</v>
      </c>
      <c r="I43" s="976">
        <f>H43*B43</f>
        <v>0</v>
      </c>
      <c r="J43" s="50">
        <f>F43*0.032+N29/12</f>
        <v>449.35638506666669</v>
      </c>
      <c r="K43" s="976">
        <f>J43*B43</f>
        <v>0</v>
      </c>
      <c r="L43" s="13">
        <f>F43*0.0263+N29/12</f>
        <v>386.0436852266667</v>
      </c>
      <c r="M43" s="976">
        <f>L43*B43</f>
        <v>0</v>
      </c>
      <c r="N43" s="13">
        <f>F43*0.0219+N29/12</f>
        <v>337.17072394666667</v>
      </c>
      <c r="O43" s="976">
        <f>N43*B43</f>
        <v>0</v>
      </c>
    </row>
    <row r="44" spans="1:16" s="245" customFormat="1" ht="13.5" thickBot="1">
      <c r="A44" s="1199"/>
      <c r="B44" s="1142"/>
      <c r="C44" s="228" t="s">
        <v>56</v>
      </c>
      <c r="D44" s="766" t="s">
        <v>424</v>
      </c>
      <c r="E44" s="767">
        <v>259</v>
      </c>
      <c r="F44" s="775" t="s">
        <v>35</v>
      </c>
      <c r="G44" s="1051"/>
      <c r="H44" s="759" t="s">
        <v>35</v>
      </c>
      <c r="I44" s="1051"/>
      <c r="J44" s="759" t="s">
        <v>35</v>
      </c>
      <c r="K44" s="1051"/>
      <c r="L44" s="761" t="s">
        <v>35</v>
      </c>
      <c r="M44" s="1051"/>
      <c r="N44" s="761" t="s">
        <v>35</v>
      </c>
      <c r="O44" s="1051"/>
      <c r="P44" s="770"/>
    </row>
    <row r="45" spans="1:16" s="246" customFormat="1" ht="13.5" customHeight="1" thickBot="1">
      <c r="A45" s="1150" t="s">
        <v>59</v>
      </c>
      <c r="B45" s="982"/>
      <c r="C45" s="982"/>
      <c r="D45" s="982"/>
      <c r="E45" s="982"/>
      <c r="F45" s="982"/>
      <c r="G45" s="1151"/>
      <c r="H45" s="1151"/>
      <c r="I45" s="1151"/>
      <c r="J45" s="1151"/>
      <c r="K45" s="1151"/>
      <c r="L45" s="1151"/>
      <c r="M45" s="1151"/>
      <c r="N45" s="1151"/>
      <c r="O45" s="1152"/>
      <c r="P45" s="376"/>
    </row>
    <row r="46" spans="1:16" s="245" customFormat="1" ht="13.5" thickBot="1">
      <c r="A46" s="777"/>
      <c r="B46" s="247"/>
      <c r="C46" s="400" t="s">
        <v>103</v>
      </c>
      <c r="D46" s="403" t="s">
        <v>104</v>
      </c>
      <c r="E46" s="377">
        <v>129.99</v>
      </c>
      <c r="F46" s="14">
        <f t="shared" ref="F46:F72" si="0">E46*(1-40%)</f>
        <v>77.994</v>
      </c>
      <c r="G46" s="2">
        <f t="shared" ref="G46:G72" si="1">F46*B46</f>
        <v>0</v>
      </c>
      <c r="H46" s="24">
        <f t="shared" ref="H46:H72" si="2">F46*0.0845</f>
        <v>6.5904930000000004</v>
      </c>
      <c r="I46" s="24">
        <f t="shared" ref="I46:I72" si="3">H46*B46</f>
        <v>0</v>
      </c>
      <c r="J46" s="24">
        <f t="shared" ref="J46:J72" si="4">F46*0.032</f>
        <v>2.4958080000000002</v>
      </c>
      <c r="K46" s="24">
        <f t="shared" ref="K46:K72" si="5">J46*B46</f>
        <v>0</v>
      </c>
      <c r="L46" s="24">
        <f t="shared" ref="L46:L61" si="6">F46*0.0263</f>
        <v>2.0512421999999999</v>
      </c>
      <c r="M46" s="24">
        <f t="shared" ref="M46:M72" si="7">L46*B46</f>
        <v>0</v>
      </c>
      <c r="N46" s="24">
        <f t="shared" ref="N46:N72" si="8">F46*0.0219</f>
        <v>1.7080686</v>
      </c>
      <c r="O46" s="24">
        <f t="shared" ref="O46:O72" si="9">N46*B46</f>
        <v>0</v>
      </c>
      <c r="P46" s="778"/>
    </row>
    <row r="47" spans="1:16" s="246" customFormat="1" ht="13.5" thickBot="1">
      <c r="A47" s="779"/>
      <c r="B47" s="248"/>
      <c r="C47" s="63" t="s">
        <v>105</v>
      </c>
      <c r="D47" s="176" t="s">
        <v>325</v>
      </c>
      <c r="E47" s="233">
        <v>399</v>
      </c>
      <c r="F47" s="14">
        <f t="shared" si="0"/>
        <v>239.39999999999998</v>
      </c>
      <c r="G47" s="3">
        <f t="shared" si="1"/>
        <v>0</v>
      </c>
      <c r="H47" s="24">
        <f t="shared" si="2"/>
        <v>20.229299999999999</v>
      </c>
      <c r="I47" s="24">
        <f t="shared" si="3"/>
        <v>0</v>
      </c>
      <c r="J47" s="24">
        <f t="shared" si="4"/>
        <v>7.6607999999999992</v>
      </c>
      <c r="K47" s="24">
        <f t="shared" si="5"/>
        <v>0</v>
      </c>
      <c r="L47" s="24">
        <f t="shared" si="6"/>
        <v>6.2962199999999999</v>
      </c>
      <c r="M47" s="24">
        <f t="shared" si="7"/>
        <v>0</v>
      </c>
      <c r="N47" s="24">
        <f t="shared" si="8"/>
        <v>5.2428599999999994</v>
      </c>
      <c r="O47" s="24">
        <f t="shared" si="9"/>
        <v>0</v>
      </c>
      <c r="P47" s="778"/>
    </row>
    <row r="48" spans="1:16" s="246" customFormat="1" ht="13.5" thickBot="1">
      <c r="A48" s="779"/>
      <c r="B48" s="249"/>
      <c r="C48" s="63" t="s">
        <v>107</v>
      </c>
      <c r="D48" s="176" t="s">
        <v>108</v>
      </c>
      <c r="E48" s="233">
        <v>250</v>
      </c>
      <c r="F48" s="14">
        <f t="shared" si="0"/>
        <v>150</v>
      </c>
      <c r="G48" s="3">
        <f t="shared" si="1"/>
        <v>0</v>
      </c>
      <c r="H48" s="24">
        <f t="shared" si="2"/>
        <v>12.675000000000001</v>
      </c>
      <c r="I48" s="24">
        <f t="shared" si="3"/>
        <v>0</v>
      </c>
      <c r="J48" s="24">
        <f t="shared" si="4"/>
        <v>4.8</v>
      </c>
      <c r="K48" s="24">
        <f t="shared" si="5"/>
        <v>0</v>
      </c>
      <c r="L48" s="24">
        <f t="shared" si="6"/>
        <v>3.9450000000000003</v>
      </c>
      <c r="M48" s="24">
        <f t="shared" si="7"/>
        <v>0</v>
      </c>
      <c r="N48" s="24">
        <f t="shared" si="8"/>
        <v>3.2849999999999997</v>
      </c>
      <c r="O48" s="24">
        <f t="shared" si="9"/>
        <v>0</v>
      </c>
      <c r="P48" s="778"/>
    </row>
    <row r="49" spans="1:16" s="246" customFormat="1" ht="13.5" thickBot="1">
      <c r="A49" s="779"/>
      <c r="B49" s="249"/>
      <c r="C49" s="63" t="s">
        <v>109</v>
      </c>
      <c r="D49" s="366" t="s">
        <v>110</v>
      </c>
      <c r="E49" s="233">
        <v>400</v>
      </c>
      <c r="F49" s="14">
        <f t="shared" si="0"/>
        <v>240</v>
      </c>
      <c r="G49" s="3">
        <f t="shared" si="1"/>
        <v>0</v>
      </c>
      <c r="H49" s="24">
        <f t="shared" si="2"/>
        <v>20.28</v>
      </c>
      <c r="I49" s="24">
        <f t="shared" si="3"/>
        <v>0</v>
      </c>
      <c r="J49" s="24">
        <f t="shared" si="4"/>
        <v>7.68</v>
      </c>
      <c r="K49" s="24">
        <f t="shared" si="5"/>
        <v>0</v>
      </c>
      <c r="L49" s="24">
        <f t="shared" si="6"/>
        <v>6.3120000000000003</v>
      </c>
      <c r="M49" s="24">
        <f t="shared" si="7"/>
        <v>0</v>
      </c>
      <c r="N49" s="24">
        <f t="shared" si="8"/>
        <v>5.2560000000000002</v>
      </c>
      <c r="O49" s="24">
        <f t="shared" si="9"/>
        <v>0</v>
      </c>
      <c r="P49" s="778"/>
    </row>
    <row r="50" spans="1:16" s="246" customFormat="1" ht="13.5" thickBot="1">
      <c r="A50" s="779"/>
      <c r="B50" s="249"/>
      <c r="C50" s="63" t="s">
        <v>111</v>
      </c>
      <c r="D50" s="176" t="s">
        <v>112</v>
      </c>
      <c r="E50" s="233">
        <v>499</v>
      </c>
      <c r="F50" s="14">
        <f t="shared" si="0"/>
        <v>299.39999999999998</v>
      </c>
      <c r="G50" s="3">
        <f t="shared" si="1"/>
        <v>0</v>
      </c>
      <c r="H50" s="24">
        <f t="shared" si="2"/>
        <v>25.299299999999999</v>
      </c>
      <c r="I50" s="24">
        <f t="shared" si="3"/>
        <v>0</v>
      </c>
      <c r="J50" s="24">
        <f t="shared" si="4"/>
        <v>9.5808</v>
      </c>
      <c r="K50" s="24">
        <f t="shared" si="5"/>
        <v>0</v>
      </c>
      <c r="L50" s="24">
        <f t="shared" si="6"/>
        <v>7.8742199999999993</v>
      </c>
      <c r="M50" s="24">
        <f t="shared" si="7"/>
        <v>0</v>
      </c>
      <c r="N50" s="24">
        <f t="shared" si="8"/>
        <v>6.5568599999999995</v>
      </c>
      <c r="O50" s="24">
        <f t="shared" si="9"/>
        <v>0</v>
      </c>
      <c r="P50" s="778"/>
    </row>
    <row r="51" spans="1:16" s="246" customFormat="1" ht="13.5" thickBot="1">
      <c r="A51" s="779"/>
      <c r="B51" s="72"/>
      <c r="C51" s="63" t="s">
        <v>77</v>
      </c>
      <c r="D51" s="176" t="s">
        <v>78</v>
      </c>
      <c r="E51" s="233">
        <v>329</v>
      </c>
      <c r="F51" s="14">
        <f t="shared" si="0"/>
        <v>197.4</v>
      </c>
      <c r="G51" s="3">
        <f t="shared" si="1"/>
        <v>0</v>
      </c>
      <c r="H51" s="24">
        <f t="shared" si="2"/>
        <v>16.680300000000003</v>
      </c>
      <c r="I51" s="24">
        <f t="shared" si="3"/>
        <v>0</v>
      </c>
      <c r="J51" s="24">
        <f t="shared" si="4"/>
        <v>6.3168000000000006</v>
      </c>
      <c r="K51" s="24">
        <f t="shared" si="5"/>
        <v>0</v>
      </c>
      <c r="L51" s="24">
        <f t="shared" si="6"/>
        <v>5.1916200000000003</v>
      </c>
      <c r="M51" s="24">
        <f t="shared" si="7"/>
        <v>0</v>
      </c>
      <c r="N51" s="24">
        <f t="shared" si="8"/>
        <v>4.3230599999999999</v>
      </c>
      <c r="O51" s="24">
        <f t="shared" si="9"/>
        <v>0</v>
      </c>
      <c r="P51" s="778"/>
    </row>
    <row r="52" spans="1:16" s="246" customFormat="1" ht="13.5" thickBot="1">
      <c r="A52" s="779"/>
      <c r="B52" s="72"/>
      <c r="C52" s="63" t="s">
        <v>292</v>
      </c>
      <c r="D52" s="366" t="s">
        <v>427</v>
      </c>
      <c r="E52" s="233">
        <v>1044.75</v>
      </c>
      <c r="F52" s="14">
        <f t="shared" si="0"/>
        <v>626.85</v>
      </c>
      <c r="G52" s="3">
        <f t="shared" si="1"/>
        <v>0</v>
      </c>
      <c r="H52" s="24">
        <f t="shared" si="2"/>
        <v>52.968825000000002</v>
      </c>
      <c r="I52" s="24">
        <f t="shared" si="3"/>
        <v>0</v>
      </c>
      <c r="J52" s="24">
        <f t="shared" si="4"/>
        <v>20.059200000000001</v>
      </c>
      <c r="K52" s="24">
        <f t="shared" si="5"/>
        <v>0</v>
      </c>
      <c r="L52" s="24">
        <f t="shared" si="6"/>
        <v>16.486155</v>
      </c>
      <c r="M52" s="24">
        <f t="shared" si="7"/>
        <v>0</v>
      </c>
      <c r="N52" s="24">
        <f t="shared" si="8"/>
        <v>13.728014999999999</v>
      </c>
      <c r="O52" s="24">
        <f t="shared" si="9"/>
        <v>0</v>
      </c>
      <c r="P52" s="778"/>
    </row>
    <row r="53" spans="1:16" s="246" customFormat="1" ht="13.5" thickBot="1">
      <c r="A53" s="779"/>
      <c r="B53" s="72"/>
      <c r="C53" s="399" t="s">
        <v>293</v>
      </c>
      <c r="D53" s="176" t="s">
        <v>3927</v>
      </c>
      <c r="E53" s="233">
        <v>1044.75</v>
      </c>
      <c r="F53" s="14">
        <f t="shared" si="0"/>
        <v>626.85</v>
      </c>
      <c r="G53" s="3">
        <f t="shared" si="1"/>
        <v>0</v>
      </c>
      <c r="H53" s="24">
        <f t="shared" si="2"/>
        <v>52.968825000000002</v>
      </c>
      <c r="I53" s="24">
        <f t="shared" si="3"/>
        <v>0</v>
      </c>
      <c r="J53" s="24">
        <f t="shared" si="4"/>
        <v>20.059200000000001</v>
      </c>
      <c r="K53" s="24">
        <f t="shared" si="5"/>
        <v>0</v>
      </c>
      <c r="L53" s="24">
        <f t="shared" si="6"/>
        <v>16.486155</v>
      </c>
      <c r="M53" s="24">
        <f t="shared" si="7"/>
        <v>0</v>
      </c>
      <c r="N53" s="24">
        <f t="shared" si="8"/>
        <v>13.728014999999999</v>
      </c>
      <c r="O53" s="24">
        <f t="shared" si="9"/>
        <v>0</v>
      </c>
      <c r="P53" s="778"/>
    </row>
    <row r="54" spans="1:16" s="246" customFormat="1" ht="13.5" thickBot="1">
      <c r="A54" s="779"/>
      <c r="B54" s="72"/>
      <c r="C54" s="399" t="s">
        <v>294</v>
      </c>
      <c r="D54" s="176" t="s">
        <v>428</v>
      </c>
      <c r="E54" s="233">
        <v>5676.3</v>
      </c>
      <c r="F54" s="14">
        <f t="shared" si="0"/>
        <v>3405.78</v>
      </c>
      <c r="G54" s="3">
        <f t="shared" si="1"/>
        <v>0</v>
      </c>
      <c r="H54" s="24">
        <f t="shared" si="2"/>
        <v>287.78841000000006</v>
      </c>
      <c r="I54" s="24">
        <f t="shared" si="3"/>
        <v>0</v>
      </c>
      <c r="J54" s="24">
        <f t="shared" si="4"/>
        <v>108.98496000000002</v>
      </c>
      <c r="K54" s="24">
        <f t="shared" si="5"/>
        <v>0</v>
      </c>
      <c r="L54" s="24">
        <f t="shared" si="6"/>
        <v>89.57201400000001</v>
      </c>
      <c r="M54" s="24">
        <f t="shared" si="7"/>
        <v>0</v>
      </c>
      <c r="N54" s="24">
        <f t="shared" si="8"/>
        <v>74.586582000000007</v>
      </c>
      <c r="O54" s="24">
        <f t="shared" si="9"/>
        <v>0</v>
      </c>
      <c r="P54" s="778"/>
    </row>
    <row r="55" spans="1:16" s="246" customFormat="1" ht="13.5" thickBot="1">
      <c r="A55" s="779"/>
      <c r="B55" s="72"/>
      <c r="C55" s="63" t="s">
        <v>241</v>
      </c>
      <c r="D55" s="176" t="s">
        <v>3922</v>
      </c>
      <c r="E55" s="233">
        <v>235.4</v>
      </c>
      <c r="F55" s="14">
        <f t="shared" si="0"/>
        <v>141.24</v>
      </c>
      <c r="G55" s="3">
        <f t="shared" si="1"/>
        <v>0</v>
      </c>
      <c r="H55" s="24">
        <f t="shared" si="2"/>
        <v>11.934780000000002</v>
      </c>
      <c r="I55" s="24">
        <f t="shared" si="3"/>
        <v>0</v>
      </c>
      <c r="J55" s="24">
        <f t="shared" si="4"/>
        <v>4.5196800000000001</v>
      </c>
      <c r="K55" s="24">
        <f t="shared" si="5"/>
        <v>0</v>
      </c>
      <c r="L55" s="24">
        <f t="shared" si="6"/>
        <v>3.7146120000000002</v>
      </c>
      <c r="M55" s="24">
        <f t="shared" si="7"/>
        <v>0</v>
      </c>
      <c r="N55" s="24">
        <f t="shared" si="8"/>
        <v>3.093156</v>
      </c>
      <c r="O55" s="24">
        <f t="shared" si="9"/>
        <v>0</v>
      </c>
      <c r="P55" s="778"/>
    </row>
    <row r="56" spans="1:16" s="246" customFormat="1" ht="13.5" thickBot="1">
      <c r="A56" s="779"/>
      <c r="B56" s="72"/>
      <c r="C56" s="63" t="s">
        <v>242</v>
      </c>
      <c r="D56" s="176" t="s">
        <v>3854</v>
      </c>
      <c r="E56" s="233">
        <v>328.49</v>
      </c>
      <c r="F56" s="14">
        <f t="shared" si="0"/>
        <v>197.09399999999999</v>
      </c>
      <c r="G56" s="3">
        <f t="shared" si="1"/>
        <v>0</v>
      </c>
      <c r="H56" s="24">
        <f t="shared" si="2"/>
        <v>16.654443000000001</v>
      </c>
      <c r="I56" s="24">
        <f t="shared" si="3"/>
        <v>0</v>
      </c>
      <c r="J56" s="24">
        <f t="shared" si="4"/>
        <v>6.3070079999999997</v>
      </c>
      <c r="K56" s="24">
        <f t="shared" si="5"/>
        <v>0</v>
      </c>
      <c r="L56" s="24">
        <f t="shared" si="6"/>
        <v>5.1835721999999995</v>
      </c>
      <c r="M56" s="24">
        <f t="shared" si="7"/>
        <v>0</v>
      </c>
      <c r="N56" s="24">
        <f t="shared" si="8"/>
        <v>4.3163586</v>
      </c>
      <c r="O56" s="24">
        <f t="shared" si="9"/>
        <v>0</v>
      </c>
      <c r="P56" s="778"/>
    </row>
    <row r="57" spans="1:16" s="246" customFormat="1" ht="13.5" thickBot="1">
      <c r="A57" s="779"/>
      <c r="B57" s="72"/>
      <c r="C57" s="63" t="s">
        <v>117</v>
      </c>
      <c r="D57" s="176" t="s">
        <v>118</v>
      </c>
      <c r="E57" s="233">
        <v>999.38</v>
      </c>
      <c r="F57" s="14">
        <f t="shared" si="0"/>
        <v>599.62799999999993</v>
      </c>
      <c r="G57" s="3">
        <f t="shared" si="1"/>
        <v>0</v>
      </c>
      <c r="H57" s="24">
        <f t="shared" si="2"/>
        <v>50.668565999999998</v>
      </c>
      <c r="I57" s="24">
        <f t="shared" si="3"/>
        <v>0</v>
      </c>
      <c r="J57" s="24">
        <f t="shared" si="4"/>
        <v>19.188095999999998</v>
      </c>
      <c r="K57" s="24">
        <f t="shared" si="5"/>
        <v>0</v>
      </c>
      <c r="L57" s="24">
        <f t="shared" si="6"/>
        <v>15.770216399999999</v>
      </c>
      <c r="M57" s="24">
        <f t="shared" si="7"/>
        <v>0</v>
      </c>
      <c r="N57" s="24">
        <f t="shared" si="8"/>
        <v>13.131853199999998</v>
      </c>
      <c r="O57" s="24">
        <f t="shared" si="9"/>
        <v>0</v>
      </c>
      <c r="P57" s="778"/>
    </row>
    <row r="58" spans="1:16" s="246" customFormat="1" ht="13.5" thickBot="1">
      <c r="A58" s="779"/>
      <c r="B58" s="72"/>
      <c r="C58" s="63" t="s">
        <v>119</v>
      </c>
      <c r="D58" s="176" t="s">
        <v>120</v>
      </c>
      <c r="E58" s="233">
        <v>222.6</v>
      </c>
      <c r="F58" s="14">
        <f t="shared" si="0"/>
        <v>133.56</v>
      </c>
      <c r="G58" s="3">
        <f t="shared" si="1"/>
        <v>0</v>
      </c>
      <c r="H58" s="24">
        <f t="shared" si="2"/>
        <v>11.285820000000001</v>
      </c>
      <c r="I58" s="24">
        <f t="shared" si="3"/>
        <v>0</v>
      </c>
      <c r="J58" s="24">
        <f t="shared" si="4"/>
        <v>4.2739200000000004</v>
      </c>
      <c r="K58" s="24">
        <f t="shared" si="5"/>
        <v>0</v>
      </c>
      <c r="L58" s="24">
        <f t="shared" si="6"/>
        <v>3.5126280000000003</v>
      </c>
      <c r="M58" s="24">
        <f t="shared" si="7"/>
        <v>0</v>
      </c>
      <c r="N58" s="24">
        <f t="shared" si="8"/>
        <v>2.9249640000000001</v>
      </c>
      <c r="O58" s="24">
        <f t="shared" si="9"/>
        <v>0</v>
      </c>
      <c r="P58" s="778"/>
    </row>
    <row r="59" spans="1:16" s="246" customFormat="1" ht="13.5" thickBot="1">
      <c r="A59" s="779"/>
      <c r="B59" s="72"/>
      <c r="C59" s="398">
        <v>45111136</v>
      </c>
      <c r="D59" s="176" t="s">
        <v>3928</v>
      </c>
      <c r="E59" s="233">
        <v>1100</v>
      </c>
      <c r="F59" s="14">
        <f t="shared" si="0"/>
        <v>660</v>
      </c>
      <c r="G59" s="3">
        <f t="shared" si="1"/>
        <v>0</v>
      </c>
      <c r="H59" s="24">
        <f t="shared" si="2"/>
        <v>55.77</v>
      </c>
      <c r="I59" s="24">
        <f t="shared" si="3"/>
        <v>0</v>
      </c>
      <c r="J59" s="24">
        <f t="shared" si="4"/>
        <v>21.12</v>
      </c>
      <c r="K59" s="24">
        <f t="shared" si="5"/>
        <v>0</v>
      </c>
      <c r="L59" s="24">
        <f t="shared" si="6"/>
        <v>17.358000000000001</v>
      </c>
      <c r="M59" s="24">
        <f t="shared" si="7"/>
        <v>0</v>
      </c>
      <c r="N59" s="24">
        <f t="shared" si="8"/>
        <v>14.453999999999999</v>
      </c>
      <c r="O59" s="24">
        <f t="shared" si="9"/>
        <v>0</v>
      </c>
      <c r="P59" s="778"/>
    </row>
    <row r="60" spans="1:16" s="245" customFormat="1" ht="26.25" thickBot="1">
      <c r="A60" s="780"/>
      <c r="B60" s="247"/>
      <c r="C60" s="63" t="s">
        <v>244</v>
      </c>
      <c r="D60" s="176" t="s">
        <v>3855</v>
      </c>
      <c r="E60" s="233">
        <v>1259.3900000000001</v>
      </c>
      <c r="F60" s="14">
        <f t="shared" si="0"/>
        <v>755.63400000000001</v>
      </c>
      <c r="G60" s="3">
        <f t="shared" si="1"/>
        <v>0</v>
      </c>
      <c r="H60" s="24">
        <f t="shared" si="2"/>
        <v>63.851073000000007</v>
      </c>
      <c r="I60" s="24">
        <f t="shared" si="3"/>
        <v>0</v>
      </c>
      <c r="J60" s="24">
        <f t="shared" si="4"/>
        <v>24.180288000000001</v>
      </c>
      <c r="K60" s="24">
        <f t="shared" si="5"/>
        <v>0</v>
      </c>
      <c r="L60" s="24">
        <f t="shared" si="6"/>
        <v>19.873174200000001</v>
      </c>
      <c r="M60" s="24">
        <f t="shared" si="7"/>
        <v>0</v>
      </c>
      <c r="N60" s="24">
        <f t="shared" si="8"/>
        <v>16.548384599999999</v>
      </c>
      <c r="O60" s="24">
        <f t="shared" si="9"/>
        <v>0</v>
      </c>
      <c r="P60" s="778"/>
    </row>
    <row r="61" spans="1:16" s="245" customFormat="1" ht="13.5" thickBot="1">
      <c r="A61" s="780"/>
      <c r="B61" s="247"/>
      <c r="C61" s="393" t="s">
        <v>3856</v>
      </c>
      <c r="D61" s="403" t="s">
        <v>3857</v>
      </c>
      <c r="E61" s="377">
        <v>1399.56</v>
      </c>
      <c r="F61" s="14">
        <f t="shared" si="0"/>
        <v>839.73599999999999</v>
      </c>
      <c r="G61" s="3">
        <f t="shared" si="1"/>
        <v>0</v>
      </c>
      <c r="H61" s="24">
        <f t="shared" si="2"/>
        <v>70.957692000000009</v>
      </c>
      <c r="I61" s="24">
        <f t="shared" si="3"/>
        <v>0</v>
      </c>
      <c r="J61" s="24">
        <f t="shared" si="4"/>
        <v>26.871552000000001</v>
      </c>
      <c r="K61" s="24">
        <f t="shared" si="5"/>
        <v>0</v>
      </c>
      <c r="L61" s="24">
        <f t="shared" si="6"/>
        <v>22.0850568</v>
      </c>
      <c r="M61" s="24">
        <f t="shared" si="7"/>
        <v>0</v>
      </c>
      <c r="N61" s="24">
        <f t="shared" si="8"/>
        <v>18.390218399999998</v>
      </c>
      <c r="O61" s="24">
        <f t="shared" si="9"/>
        <v>0</v>
      </c>
      <c r="P61" s="778"/>
    </row>
    <row r="62" spans="1:16" s="245" customFormat="1" ht="26.25" thickBot="1">
      <c r="A62" s="780"/>
      <c r="B62" s="247"/>
      <c r="C62" s="498" t="s">
        <v>466</v>
      </c>
      <c r="D62" s="395" t="s">
        <v>3932</v>
      </c>
      <c r="E62" s="324">
        <v>2272.75</v>
      </c>
      <c r="F62" s="14">
        <f t="shared" si="0"/>
        <v>1363.6499999999999</v>
      </c>
      <c r="G62" s="27">
        <f t="shared" si="1"/>
        <v>0</v>
      </c>
      <c r="H62" s="26">
        <f t="shared" si="2"/>
        <v>115.228425</v>
      </c>
      <c r="I62" s="26">
        <f t="shared" si="3"/>
        <v>0</v>
      </c>
      <c r="J62" s="26">
        <f t="shared" si="4"/>
        <v>43.636799999999994</v>
      </c>
      <c r="K62" s="26">
        <f t="shared" si="5"/>
        <v>0</v>
      </c>
      <c r="L62" s="26">
        <f>F62*0.027</f>
        <v>36.818549999999995</v>
      </c>
      <c r="M62" s="26">
        <f t="shared" si="7"/>
        <v>0</v>
      </c>
      <c r="N62" s="26">
        <f t="shared" si="8"/>
        <v>29.863934999999994</v>
      </c>
      <c r="O62" s="26">
        <f t="shared" si="9"/>
        <v>0</v>
      </c>
      <c r="P62" s="778"/>
    </row>
    <row r="63" spans="1:16" s="245" customFormat="1" ht="26.25" thickBot="1">
      <c r="A63" s="780"/>
      <c r="B63" s="249"/>
      <c r="C63" s="63" t="s">
        <v>3933</v>
      </c>
      <c r="D63" s="176" t="s">
        <v>3934</v>
      </c>
      <c r="E63" s="233">
        <v>4108.8</v>
      </c>
      <c r="F63" s="14">
        <f t="shared" si="0"/>
        <v>2465.2800000000002</v>
      </c>
      <c r="G63" s="3">
        <f t="shared" si="1"/>
        <v>0</v>
      </c>
      <c r="H63" s="24">
        <f t="shared" si="2"/>
        <v>208.31616000000002</v>
      </c>
      <c r="I63" s="24">
        <f t="shared" si="3"/>
        <v>0</v>
      </c>
      <c r="J63" s="24">
        <f t="shared" si="4"/>
        <v>78.888960000000012</v>
      </c>
      <c r="K63" s="24">
        <f t="shared" si="5"/>
        <v>0</v>
      </c>
      <c r="L63" s="24">
        <f>F63*0.027</f>
        <v>66.562560000000005</v>
      </c>
      <c r="M63" s="24">
        <f t="shared" si="7"/>
        <v>0</v>
      </c>
      <c r="N63" s="24">
        <f t="shared" si="8"/>
        <v>53.989632</v>
      </c>
      <c r="O63" s="24">
        <f t="shared" si="9"/>
        <v>0</v>
      </c>
      <c r="P63" s="778"/>
    </row>
    <row r="64" spans="1:16" s="245" customFormat="1" ht="26.25" thickBot="1">
      <c r="A64" s="780"/>
      <c r="B64" s="247"/>
      <c r="C64" s="398" t="s">
        <v>467</v>
      </c>
      <c r="D64" s="176" t="s">
        <v>3935</v>
      </c>
      <c r="E64" s="233">
        <v>4019.99</v>
      </c>
      <c r="F64" s="14">
        <f t="shared" si="0"/>
        <v>2411.9939999999997</v>
      </c>
      <c r="G64" s="3">
        <f t="shared" si="1"/>
        <v>0</v>
      </c>
      <c r="H64" s="24">
        <f t="shared" si="2"/>
        <v>203.81349299999999</v>
      </c>
      <c r="I64" s="24">
        <f t="shared" si="3"/>
        <v>0</v>
      </c>
      <c r="J64" s="24">
        <f t="shared" si="4"/>
        <v>77.183807999999985</v>
      </c>
      <c r="K64" s="24">
        <f t="shared" si="5"/>
        <v>0</v>
      </c>
      <c r="L64" s="24">
        <f>F64*0.0263</f>
        <v>63.43544219999999</v>
      </c>
      <c r="M64" s="24">
        <f t="shared" si="7"/>
        <v>0</v>
      </c>
      <c r="N64" s="24">
        <f t="shared" si="8"/>
        <v>52.822668599999993</v>
      </c>
      <c r="O64" s="24">
        <f t="shared" si="9"/>
        <v>0</v>
      </c>
      <c r="P64" s="778"/>
    </row>
    <row r="65" spans="1:16" s="245" customFormat="1" ht="26.25" thickBot="1">
      <c r="A65" s="780"/>
      <c r="B65" s="247"/>
      <c r="C65" s="399" t="s">
        <v>468</v>
      </c>
      <c r="D65" s="404" t="s">
        <v>3936</v>
      </c>
      <c r="E65" s="233">
        <v>5761.95</v>
      </c>
      <c r="F65" s="14">
        <f t="shared" si="0"/>
        <v>3457.1699999999996</v>
      </c>
      <c r="G65" s="3">
        <f t="shared" si="1"/>
        <v>0</v>
      </c>
      <c r="H65" s="24">
        <f t="shared" si="2"/>
        <v>292.13086499999997</v>
      </c>
      <c r="I65" s="24">
        <f t="shared" si="3"/>
        <v>0</v>
      </c>
      <c r="J65" s="24">
        <f t="shared" si="4"/>
        <v>110.62943999999999</v>
      </c>
      <c r="K65" s="24">
        <f t="shared" si="5"/>
        <v>0</v>
      </c>
      <c r="L65" s="24">
        <f>F65*0.0263</f>
        <v>90.923570999999995</v>
      </c>
      <c r="M65" s="24">
        <f t="shared" si="7"/>
        <v>0</v>
      </c>
      <c r="N65" s="24">
        <f t="shared" si="8"/>
        <v>75.712022999999988</v>
      </c>
      <c r="O65" s="24">
        <f t="shared" si="9"/>
        <v>0</v>
      </c>
      <c r="P65" s="778"/>
    </row>
    <row r="66" spans="1:16" s="245" customFormat="1" ht="13.5" thickBot="1">
      <c r="A66" s="780"/>
      <c r="B66" s="249"/>
      <c r="C66" s="402" t="s">
        <v>123</v>
      </c>
      <c r="D66" s="404" t="s">
        <v>3923</v>
      </c>
      <c r="E66" s="233">
        <v>329.56</v>
      </c>
      <c r="F66" s="14">
        <f t="shared" si="0"/>
        <v>197.73599999999999</v>
      </c>
      <c r="G66" s="3">
        <f t="shared" si="1"/>
        <v>0</v>
      </c>
      <c r="H66" s="24">
        <f t="shared" si="2"/>
        <v>16.708691999999999</v>
      </c>
      <c r="I66" s="24">
        <f t="shared" si="3"/>
        <v>0</v>
      </c>
      <c r="J66" s="24">
        <f t="shared" si="4"/>
        <v>6.3275519999999998</v>
      </c>
      <c r="K66" s="24">
        <f t="shared" si="5"/>
        <v>0</v>
      </c>
      <c r="L66" s="24">
        <f>F66*0.0263</f>
        <v>5.2004567999999995</v>
      </c>
      <c r="M66" s="24">
        <f t="shared" si="7"/>
        <v>0</v>
      </c>
      <c r="N66" s="24">
        <f t="shared" si="8"/>
        <v>4.3304183999999992</v>
      </c>
      <c r="O66" s="24">
        <f t="shared" si="9"/>
        <v>0</v>
      </c>
      <c r="P66" s="778"/>
    </row>
    <row r="67" spans="1:16" s="245" customFormat="1" ht="13.5" thickBot="1">
      <c r="A67" s="780"/>
      <c r="B67" s="250"/>
      <c r="C67" s="401" t="s">
        <v>3862</v>
      </c>
      <c r="D67" s="405" t="s">
        <v>3929</v>
      </c>
      <c r="E67" s="406">
        <v>4449.0600000000004</v>
      </c>
      <c r="F67" s="14">
        <f t="shared" si="0"/>
        <v>2669.4360000000001</v>
      </c>
      <c r="G67" s="3">
        <f t="shared" si="1"/>
        <v>0</v>
      </c>
      <c r="H67" s="24">
        <f t="shared" si="2"/>
        <v>225.56734200000002</v>
      </c>
      <c r="I67" s="24">
        <f t="shared" si="3"/>
        <v>0</v>
      </c>
      <c r="J67" s="24">
        <f t="shared" si="4"/>
        <v>85.421952000000005</v>
      </c>
      <c r="K67" s="24">
        <f t="shared" si="5"/>
        <v>0</v>
      </c>
      <c r="L67" s="24">
        <f>F67*0.0263</f>
        <v>70.206166800000005</v>
      </c>
      <c r="M67" s="24">
        <f t="shared" si="7"/>
        <v>0</v>
      </c>
      <c r="N67" s="24">
        <f t="shared" si="8"/>
        <v>58.460648400000004</v>
      </c>
      <c r="O67" s="24">
        <f t="shared" si="9"/>
        <v>0</v>
      </c>
      <c r="P67" s="778"/>
    </row>
    <row r="68" spans="1:16" s="245" customFormat="1" ht="13.5" thickBot="1">
      <c r="A68" s="780"/>
      <c r="B68" s="250"/>
      <c r="C68" s="63" t="s">
        <v>366</v>
      </c>
      <c r="D68" s="176" t="s">
        <v>367</v>
      </c>
      <c r="E68" s="233">
        <v>588.5</v>
      </c>
      <c r="F68" s="14">
        <f t="shared" si="0"/>
        <v>353.09999999999997</v>
      </c>
      <c r="G68" s="3">
        <f t="shared" si="1"/>
        <v>0</v>
      </c>
      <c r="H68" s="24">
        <f t="shared" si="2"/>
        <v>29.836949999999998</v>
      </c>
      <c r="I68" s="24">
        <f t="shared" si="3"/>
        <v>0</v>
      </c>
      <c r="J68" s="24">
        <f t="shared" si="4"/>
        <v>11.299199999999999</v>
      </c>
      <c r="K68" s="24">
        <f t="shared" si="5"/>
        <v>0</v>
      </c>
      <c r="L68" s="24">
        <f>F68*0.0263</f>
        <v>9.2865299999999991</v>
      </c>
      <c r="M68" s="24">
        <f t="shared" si="7"/>
        <v>0</v>
      </c>
      <c r="N68" s="24">
        <f t="shared" si="8"/>
        <v>7.7328899999999994</v>
      </c>
      <c r="O68" s="24">
        <f t="shared" si="9"/>
        <v>0</v>
      </c>
      <c r="P68" s="778"/>
    </row>
    <row r="69" spans="1:16" s="246" customFormat="1" ht="13.5" thickBot="1">
      <c r="A69" s="779"/>
      <c r="B69" s="249"/>
      <c r="C69" s="63" t="s">
        <v>522</v>
      </c>
      <c r="D69" s="176" t="s">
        <v>432</v>
      </c>
      <c r="E69" s="233">
        <v>101.65</v>
      </c>
      <c r="F69" s="14">
        <f t="shared" si="0"/>
        <v>60.99</v>
      </c>
      <c r="G69" s="3">
        <f t="shared" si="1"/>
        <v>0</v>
      </c>
      <c r="H69" s="24">
        <f t="shared" si="2"/>
        <v>5.1536550000000005</v>
      </c>
      <c r="I69" s="24">
        <f t="shared" si="3"/>
        <v>0</v>
      </c>
      <c r="J69" s="24">
        <f t="shared" si="4"/>
        <v>1.9516800000000001</v>
      </c>
      <c r="K69" s="24">
        <f t="shared" si="5"/>
        <v>0</v>
      </c>
      <c r="L69" s="24">
        <f>F69*0.027</f>
        <v>1.64673</v>
      </c>
      <c r="M69" s="24">
        <f t="shared" si="7"/>
        <v>0</v>
      </c>
      <c r="N69" s="24">
        <f t="shared" si="8"/>
        <v>1.3356809999999999</v>
      </c>
      <c r="O69" s="24">
        <f t="shared" si="9"/>
        <v>0</v>
      </c>
      <c r="P69" s="778"/>
    </row>
    <row r="70" spans="1:16" s="246" customFormat="1" ht="13.5" thickBot="1">
      <c r="A70" s="779"/>
      <c r="B70" s="72"/>
      <c r="C70" s="63" t="s">
        <v>3865</v>
      </c>
      <c r="D70" s="176" t="s">
        <v>3866</v>
      </c>
      <c r="E70" s="233">
        <v>145.52000000000001</v>
      </c>
      <c r="F70" s="14">
        <f t="shared" si="0"/>
        <v>87.311999999999998</v>
      </c>
      <c r="G70" s="3">
        <f t="shared" si="1"/>
        <v>0</v>
      </c>
      <c r="H70" s="24">
        <f t="shared" si="2"/>
        <v>7.3778640000000006</v>
      </c>
      <c r="I70" s="24">
        <f t="shared" si="3"/>
        <v>0</v>
      </c>
      <c r="J70" s="24">
        <f t="shared" si="4"/>
        <v>2.793984</v>
      </c>
      <c r="K70" s="24">
        <f t="shared" si="5"/>
        <v>0</v>
      </c>
      <c r="L70" s="24">
        <f t="shared" ref="L70:L95" si="10">F70*0.0263</f>
        <v>2.2963056000000002</v>
      </c>
      <c r="M70" s="24">
        <f t="shared" si="7"/>
        <v>0</v>
      </c>
      <c r="N70" s="24">
        <f t="shared" si="8"/>
        <v>1.9121328</v>
      </c>
      <c r="O70" s="24">
        <f t="shared" si="9"/>
        <v>0</v>
      </c>
      <c r="P70" s="778"/>
    </row>
    <row r="71" spans="1:16" s="246" customFormat="1" ht="13.5" thickBot="1">
      <c r="A71" s="779"/>
      <c r="B71" s="249"/>
      <c r="C71" s="63" t="s">
        <v>3930</v>
      </c>
      <c r="D71" s="176" t="s">
        <v>3931</v>
      </c>
      <c r="E71" s="233">
        <v>1470</v>
      </c>
      <c r="F71" s="14">
        <f t="shared" si="0"/>
        <v>882</v>
      </c>
      <c r="G71" s="3">
        <f t="shared" si="1"/>
        <v>0</v>
      </c>
      <c r="H71" s="24">
        <f t="shared" si="2"/>
        <v>74.529000000000011</v>
      </c>
      <c r="I71" s="24">
        <f t="shared" si="3"/>
        <v>0</v>
      </c>
      <c r="J71" s="24">
        <f t="shared" si="4"/>
        <v>28.224</v>
      </c>
      <c r="K71" s="24">
        <f t="shared" si="5"/>
        <v>0</v>
      </c>
      <c r="L71" s="24">
        <f t="shared" si="10"/>
        <v>23.1966</v>
      </c>
      <c r="M71" s="24">
        <f t="shared" si="7"/>
        <v>0</v>
      </c>
      <c r="N71" s="24">
        <f t="shared" si="8"/>
        <v>19.315799999999999</v>
      </c>
      <c r="O71" s="24">
        <f t="shared" si="9"/>
        <v>0</v>
      </c>
      <c r="P71" s="778"/>
    </row>
    <row r="72" spans="1:16" s="246" customFormat="1" ht="13.5" thickBot="1">
      <c r="A72" s="779"/>
      <c r="B72" s="72"/>
      <c r="C72" s="63" t="s">
        <v>127</v>
      </c>
      <c r="D72" s="176" t="s">
        <v>128</v>
      </c>
      <c r="E72" s="233">
        <v>148.72999999999999</v>
      </c>
      <c r="F72" s="14">
        <f t="shared" si="0"/>
        <v>89.237999999999985</v>
      </c>
      <c r="G72" s="3">
        <f t="shared" si="1"/>
        <v>0</v>
      </c>
      <c r="H72" s="24">
        <f t="shared" si="2"/>
        <v>7.5406109999999993</v>
      </c>
      <c r="I72" s="24">
        <f t="shared" si="3"/>
        <v>0</v>
      </c>
      <c r="J72" s="24">
        <f t="shared" si="4"/>
        <v>2.8556159999999995</v>
      </c>
      <c r="K72" s="24">
        <f t="shared" si="5"/>
        <v>0</v>
      </c>
      <c r="L72" s="24">
        <f t="shared" si="10"/>
        <v>2.3469593999999998</v>
      </c>
      <c r="M72" s="24">
        <f t="shared" si="7"/>
        <v>0</v>
      </c>
      <c r="N72" s="24">
        <f t="shared" si="8"/>
        <v>1.9543121999999997</v>
      </c>
      <c r="O72" s="24">
        <f t="shared" si="9"/>
        <v>0</v>
      </c>
      <c r="P72" s="778"/>
    </row>
    <row r="73" spans="1:16" s="246" customFormat="1" ht="13.5" thickBot="1">
      <c r="A73" s="779"/>
      <c r="B73" s="72"/>
      <c r="C73" s="400" t="s">
        <v>129</v>
      </c>
      <c r="D73" s="403" t="s">
        <v>171</v>
      </c>
      <c r="E73" s="377">
        <v>785</v>
      </c>
      <c r="F73" s="14">
        <f t="shared" ref="F73:F95" si="11">E73*(1-40%)</f>
        <v>471</v>
      </c>
      <c r="G73" s="3">
        <f t="shared" ref="G73:G95" si="12">F73*B73</f>
        <v>0</v>
      </c>
      <c r="H73" s="24">
        <f t="shared" ref="H73:H95" si="13">F73*0.0845</f>
        <v>39.799500000000002</v>
      </c>
      <c r="I73" s="24">
        <f t="shared" ref="I73:I95" si="14">H73*B73</f>
        <v>0</v>
      </c>
      <c r="J73" s="24">
        <f t="shared" ref="J73:J95" si="15">F73*0.032</f>
        <v>15.072000000000001</v>
      </c>
      <c r="K73" s="24">
        <f t="shared" ref="K73:K95" si="16">J73*B73</f>
        <v>0</v>
      </c>
      <c r="L73" s="24">
        <f t="shared" si="10"/>
        <v>12.3873</v>
      </c>
      <c r="M73" s="24">
        <f t="shared" ref="M73:M95" si="17">L73*B73</f>
        <v>0</v>
      </c>
      <c r="N73" s="24">
        <f t="shared" ref="N73:N95" si="18">F73*0.0219</f>
        <v>10.3149</v>
      </c>
      <c r="O73" s="24">
        <f t="shared" ref="O73:O95" si="19">N73*B73</f>
        <v>0</v>
      </c>
      <c r="P73" s="778"/>
    </row>
    <row r="74" spans="1:16" s="245" customFormat="1" ht="13.5" thickBot="1">
      <c r="A74" s="780"/>
      <c r="B74" s="247"/>
      <c r="C74" s="399" t="s">
        <v>131</v>
      </c>
      <c r="D74" s="500" t="s">
        <v>172</v>
      </c>
      <c r="E74" s="233">
        <v>821</v>
      </c>
      <c r="F74" s="14">
        <f t="shared" si="11"/>
        <v>492.59999999999997</v>
      </c>
      <c r="G74" s="3">
        <f t="shared" si="12"/>
        <v>0</v>
      </c>
      <c r="H74" s="24">
        <f t="shared" si="13"/>
        <v>41.624699999999997</v>
      </c>
      <c r="I74" s="24">
        <f t="shared" si="14"/>
        <v>0</v>
      </c>
      <c r="J74" s="24">
        <f t="shared" si="15"/>
        <v>15.763199999999999</v>
      </c>
      <c r="K74" s="24">
        <f t="shared" si="16"/>
        <v>0</v>
      </c>
      <c r="L74" s="24">
        <f t="shared" si="10"/>
        <v>12.95538</v>
      </c>
      <c r="M74" s="24">
        <f t="shared" si="17"/>
        <v>0</v>
      </c>
      <c r="N74" s="24">
        <f t="shared" si="18"/>
        <v>10.787939999999999</v>
      </c>
      <c r="O74" s="24">
        <f t="shared" si="19"/>
        <v>0</v>
      </c>
      <c r="P74" s="778"/>
    </row>
    <row r="75" spans="1:16" s="245" customFormat="1" ht="13.5" thickBot="1">
      <c r="A75" s="780"/>
      <c r="B75" s="249"/>
      <c r="C75" s="63" t="s">
        <v>133</v>
      </c>
      <c r="D75" s="176" t="s">
        <v>134</v>
      </c>
      <c r="E75" s="233">
        <v>690</v>
      </c>
      <c r="F75" s="14">
        <f t="shared" si="11"/>
        <v>414</v>
      </c>
      <c r="G75" s="3">
        <f t="shared" si="12"/>
        <v>0</v>
      </c>
      <c r="H75" s="24">
        <f t="shared" si="13"/>
        <v>34.983000000000004</v>
      </c>
      <c r="I75" s="24">
        <f t="shared" si="14"/>
        <v>0</v>
      </c>
      <c r="J75" s="24">
        <f t="shared" si="15"/>
        <v>13.248000000000001</v>
      </c>
      <c r="K75" s="24">
        <f t="shared" si="16"/>
        <v>0</v>
      </c>
      <c r="L75" s="24">
        <f t="shared" si="10"/>
        <v>10.888199999999999</v>
      </c>
      <c r="M75" s="24">
        <f t="shared" si="17"/>
        <v>0</v>
      </c>
      <c r="N75" s="24">
        <f t="shared" si="18"/>
        <v>9.0665999999999993</v>
      </c>
      <c r="O75" s="24">
        <f t="shared" si="19"/>
        <v>0</v>
      </c>
      <c r="P75" s="778"/>
    </row>
    <row r="76" spans="1:16" s="245" customFormat="1" ht="13.5" thickBot="1">
      <c r="A76" s="780"/>
      <c r="B76" s="250"/>
      <c r="C76" s="297" t="s">
        <v>135</v>
      </c>
      <c r="D76" s="298" t="s">
        <v>136</v>
      </c>
      <c r="E76" s="326">
        <v>191</v>
      </c>
      <c r="F76" s="14">
        <f t="shared" si="11"/>
        <v>114.6</v>
      </c>
      <c r="G76" s="3">
        <f t="shared" si="12"/>
        <v>0</v>
      </c>
      <c r="H76" s="24">
        <f t="shared" si="13"/>
        <v>9.6837</v>
      </c>
      <c r="I76" s="24">
        <f t="shared" si="14"/>
        <v>0</v>
      </c>
      <c r="J76" s="24">
        <f t="shared" si="15"/>
        <v>3.6671999999999998</v>
      </c>
      <c r="K76" s="24">
        <f t="shared" si="16"/>
        <v>0</v>
      </c>
      <c r="L76" s="24">
        <f t="shared" si="10"/>
        <v>3.0139800000000001</v>
      </c>
      <c r="M76" s="24">
        <f t="shared" si="17"/>
        <v>0</v>
      </c>
      <c r="N76" s="24">
        <f t="shared" si="18"/>
        <v>2.5097399999999999</v>
      </c>
      <c r="O76" s="24">
        <f t="shared" si="19"/>
        <v>0</v>
      </c>
      <c r="P76" s="778"/>
    </row>
    <row r="77" spans="1:16" s="246" customFormat="1" ht="26.25" thickBot="1">
      <c r="A77" s="779"/>
      <c r="B77" s="248"/>
      <c r="C77" s="63" t="s">
        <v>137</v>
      </c>
      <c r="D77" s="176" t="s">
        <v>3867</v>
      </c>
      <c r="E77" s="233">
        <v>667.8</v>
      </c>
      <c r="F77" s="14">
        <f t="shared" si="11"/>
        <v>400.67999999999995</v>
      </c>
      <c r="G77" s="3">
        <f t="shared" si="12"/>
        <v>0</v>
      </c>
      <c r="H77" s="24">
        <f t="shared" si="13"/>
        <v>33.857459999999996</v>
      </c>
      <c r="I77" s="24">
        <f t="shared" si="14"/>
        <v>0</v>
      </c>
      <c r="J77" s="24">
        <f t="shared" si="15"/>
        <v>12.821759999999999</v>
      </c>
      <c r="K77" s="24">
        <f t="shared" si="16"/>
        <v>0</v>
      </c>
      <c r="L77" s="24">
        <f t="shared" si="10"/>
        <v>10.537883999999998</v>
      </c>
      <c r="M77" s="24">
        <f t="shared" si="17"/>
        <v>0</v>
      </c>
      <c r="N77" s="24">
        <f t="shared" si="18"/>
        <v>8.7748919999999995</v>
      </c>
      <c r="O77" s="24">
        <f t="shared" si="19"/>
        <v>0</v>
      </c>
      <c r="P77" s="778"/>
    </row>
    <row r="78" spans="1:16" s="246" customFormat="1" ht="13.5" thickBot="1">
      <c r="A78" s="779"/>
      <c r="B78" s="249"/>
      <c r="C78" s="398" t="s">
        <v>139</v>
      </c>
      <c r="D78" s="403" t="s">
        <v>140</v>
      </c>
      <c r="E78" s="377">
        <v>250</v>
      </c>
      <c r="F78" s="14">
        <f t="shared" si="11"/>
        <v>150</v>
      </c>
      <c r="G78" s="3">
        <f t="shared" si="12"/>
        <v>0</v>
      </c>
      <c r="H78" s="24">
        <f t="shared" si="13"/>
        <v>12.675000000000001</v>
      </c>
      <c r="I78" s="24">
        <f t="shared" si="14"/>
        <v>0</v>
      </c>
      <c r="J78" s="24">
        <f t="shared" si="15"/>
        <v>4.8</v>
      </c>
      <c r="K78" s="24">
        <f t="shared" si="16"/>
        <v>0</v>
      </c>
      <c r="L78" s="24">
        <f t="shared" si="10"/>
        <v>3.9450000000000003</v>
      </c>
      <c r="M78" s="24">
        <f t="shared" si="17"/>
        <v>0</v>
      </c>
      <c r="N78" s="24">
        <f t="shared" si="18"/>
        <v>3.2849999999999997</v>
      </c>
      <c r="O78" s="24">
        <f t="shared" si="19"/>
        <v>0</v>
      </c>
      <c r="P78" s="778"/>
    </row>
    <row r="79" spans="1:16" s="246" customFormat="1" ht="13.5" thickBot="1">
      <c r="A79" s="779"/>
      <c r="B79" s="72"/>
      <c r="C79" s="63" t="s">
        <v>141</v>
      </c>
      <c r="D79" s="176" t="s">
        <v>174</v>
      </c>
      <c r="E79" s="233">
        <v>250</v>
      </c>
      <c r="F79" s="14">
        <f t="shared" si="11"/>
        <v>150</v>
      </c>
      <c r="G79" s="3">
        <f t="shared" si="12"/>
        <v>0</v>
      </c>
      <c r="H79" s="24">
        <f t="shared" si="13"/>
        <v>12.675000000000001</v>
      </c>
      <c r="I79" s="24">
        <f t="shared" si="14"/>
        <v>0</v>
      </c>
      <c r="J79" s="24">
        <f t="shared" si="15"/>
        <v>4.8</v>
      </c>
      <c r="K79" s="24">
        <f t="shared" si="16"/>
        <v>0</v>
      </c>
      <c r="L79" s="24">
        <f t="shared" si="10"/>
        <v>3.9450000000000003</v>
      </c>
      <c r="M79" s="24">
        <f t="shared" si="17"/>
        <v>0</v>
      </c>
      <c r="N79" s="24">
        <f t="shared" si="18"/>
        <v>3.2849999999999997</v>
      </c>
      <c r="O79" s="24">
        <f t="shared" si="19"/>
        <v>0</v>
      </c>
      <c r="P79" s="778"/>
    </row>
    <row r="80" spans="1:16" s="246" customFormat="1" ht="13.5" thickBot="1">
      <c r="A80" s="779"/>
      <c r="B80" s="249"/>
      <c r="C80" s="63" t="s">
        <v>469</v>
      </c>
      <c r="D80" s="366" t="s">
        <v>3937</v>
      </c>
      <c r="E80" s="233">
        <v>3919.41</v>
      </c>
      <c r="F80" s="14">
        <f t="shared" si="11"/>
        <v>2351.6459999999997</v>
      </c>
      <c r="G80" s="3">
        <f t="shared" si="12"/>
        <v>0</v>
      </c>
      <c r="H80" s="24">
        <f t="shared" si="13"/>
        <v>198.71408699999998</v>
      </c>
      <c r="I80" s="24">
        <f t="shared" si="14"/>
        <v>0</v>
      </c>
      <c r="J80" s="24">
        <f t="shared" si="15"/>
        <v>75.25267199999999</v>
      </c>
      <c r="K80" s="24">
        <f t="shared" si="16"/>
        <v>0</v>
      </c>
      <c r="L80" s="24">
        <f t="shared" si="10"/>
        <v>61.848289799999996</v>
      </c>
      <c r="M80" s="24">
        <f t="shared" si="17"/>
        <v>0</v>
      </c>
      <c r="N80" s="24">
        <f t="shared" si="18"/>
        <v>51.50104739999999</v>
      </c>
      <c r="O80" s="24">
        <f t="shared" si="19"/>
        <v>0</v>
      </c>
      <c r="P80" s="778"/>
    </row>
    <row r="81" spans="1:16" s="246" customFormat="1" ht="13.5" thickBot="1">
      <c r="A81" s="779"/>
      <c r="B81" s="251"/>
      <c r="C81" s="63" t="s">
        <v>471</v>
      </c>
      <c r="D81" s="366" t="s">
        <v>3938</v>
      </c>
      <c r="E81" s="233">
        <v>2083.29</v>
      </c>
      <c r="F81" s="14">
        <f t="shared" si="11"/>
        <v>1249.9739999999999</v>
      </c>
      <c r="G81" s="3">
        <f t="shared" si="12"/>
        <v>0</v>
      </c>
      <c r="H81" s="24">
        <f t="shared" si="13"/>
        <v>105.622803</v>
      </c>
      <c r="I81" s="24">
        <f t="shared" si="14"/>
        <v>0</v>
      </c>
      <c r="J81" s="24">
        <f t="shared" si="15"/>
        <v>39.999167999999997</v>
      </c>
      <c r="K81" s="24">
        <f t="shared" si="16"/>
        <v>0</v>
      </c>
      <c r="L81" s="24">
        <f t="shared" si="10"/>
        <v>32.874316199999996</v>
      </c>
      <c r="M81" s="24">
        <f t="shared" si="17"/>
        <v>0</v>
      </c>
      <c r="N81" s="24">
        <f t="shared" si="18"/>
        <v>27.374430599999997</v>
      </c>
      <c r="O81" s="24">
        <f t="shared" si="19"/>
        <v>0</v>
      </c>
      <c r="P81" s="778"/>
    </row>
    <row r="82" spans="1:16" s="246" customFormat="1" ht="13.5" thickBot="1">
      <c r="A82" s="779"/>
      <c r="B82" s="72"/>
      <c r="C82" s="63" t="s">
        <v>252</v>
      </c>
      <c r="D82" s="176" t="s">
        <v>3869</v>
      </c>
      <c r="E82" s="233">
        <v>996.17</v>
      </c>
      <c r="F82" s="14">
        <f t="shared" si="11"/>
        <v>597.702</v>
      </c>
      <c r="G82" s="3">
        <f t="shared" si="12"/>
        <v>0</v>
      </c>
      <c r="H82" s="24">
        <f t="shared" si="13"/>
        <v>50.505819000000002</v>
      </c>
      <c r="I82" s="24">
        <f t="shared" si="14"/>
        <v>0</v>
      </c>
      <c r="J82" s="24">
        <f t="shared" si="15"/>
        <v>19.126463999999999</v>
      </c>
      <c r="K82" s="24">
        <f t="shared" si="16"/>
        <v>0</v>
      </c>
      <c r="L82" s="24">
        <f t="shared" si="10"/>
        <v>15.7195626</v>
      </c>
      <c r="M82" s="24">
        <f t="shared" si="17"/>
        <v>0</v>
      </c>
      <c r="N82" s="24">
        <f t="shared" si="18"/>
        <v>13.0896738</v>
      </c>
      <c r="O82" s="24">
        <f t="shared" si="19"/>
        <v>0</v>
      </c>
      <c r="P82" s="778"/>
    </row>
    <row r="83" spans="1:16" s="246" customFormat="1" ht="13.5" thickBot="1">
      <c r="A83" s="779"/>
      <c r="B83" s="72"/>
      <c r="C83" s="393" t="s">
        <v>218</v>
      </c>
      <c r="D83" s="176" t="s">
        <v>253</v>
      </c>
      <c r="E83" s="233">
        <v>70.62</v>
      </c>
      <c r="F83" s="14">
        <f t="shared" si="11"/>
        <v>42.372</v>
      </c>
      <c r="G83" s="3">
        <f t="shared" si="12"/>
        <v>0</v>
      </c>
      <c r="H83" s="24">
        <f t="shared" si="13"/>
        <v>3.5804340000000003</v>
      </c>
      <c r="I83" s="24">
        <f t="shared" si="14"/>
        <v>0</v>
      </c>
      <c r="J83" s="24">
        <f t="shared" si="15"/>
        <v>1.355904</v>
      </c>
      <c r="K83" s="24">
        <f t="shared" si="16"/>
        <v>0</v>
      </c>
      <c r="L83" s="24">
        <f t="shared" si="10"/>
        <v>1.1143836</v>
      </c>
      <c r="M83" s="24">
        <f t="shared" si="17"/>
        <v>0</v>
      </c>
      <c r="N83" s="24">
        <f t="shared" si="18"/>
        <v>0.92794679999999996</v>
      </c>
      <c r="O83" s="24">
        <f t="shared" si="19"/>
        <v>0</v>
      </c>
      <c r="P83" s="778"/>
    </row>
    <row r="84" spans="1:16" s="246" customFormat="1" ht="13.5" thickBot="1">
      <c r="A84" s="779"/>
      <c r="B84" s="72"/>
      <c r="C84" s="63" t="s">
        <v>4048</v>
      </c>
      <c r="D84" s="176" t="s">
        <v>4049</v>
      </c>
      <c r="E84" s="233">
        <v>347.75</v>
      </c>
      <c r="F84" s="14">
        <f>E84*(1-40%)</f>
        <v>208.65</v>
      </c>
      <c r="G84" s="3">
        <f>F84*B84</f>
        <v>0</v>
      </c>
      <c r="H84" s="24">
        <f>F84*0.0845</f>
        <v>17.630925000000001</v>
      </c>
      <c r="I84" s="24">
        <f>H84*B84</f>
        <v>0</v>
      </c>
      <c r="J84" s="24">
        <f>F84*0.032</f>
        <v>6.6768000000000001</v>
      </c>
      <c r="K84" s="24">
        <f>J84*B84</f>
        <v>0</v>
      </c>
      <c r="L84" s="24">
        <f>F84*0.0263</f>
        <v>5.487495</v>
      </c>
      <c r="M84" s="24">
        <f>L84*B84</f>
        <v>0</v>
      </c>
      <c r="N84" s="24">
        <f>F84*0.0219</f>
        <v>4.5694350000000004</v>
      </c>
      <c r="O84" s="24">
        <f>N84*B84</f>
        <v>0</v>
      </c>
      <c r="P84" s="778"/>
    </row>
    <row r="85" spans="1:16" s="246" customFormat="1" ht="13.5" thickBot="1">
      <c r="A85" s="779"/>
      <c r="B85" s="72"/>
      <c r="C85" s="63" t="s">
        <v>528</v>
      </c>
      <c r="D85" s="176" t="s">
        <v>3912</v>
      </c>
      <c r="E85" s="233">
        <v>1306.47</v>
      </c>
      <c r="F85" s="14">
        <f t="shared" si="11"/>
        <v>783.88199999999995</v>
      </c>
      <c r="G85" s="3">
        <f t="shared" si="12"/>
        <v>0</v>
      </c>
      <c r="H85" s="24">
        <f t="shared" si="13"/>
        <v>66.238028999999997</v>
      </c>
      <c r="I85" s="24">
        <f t="shared" si="14"/>
        <v>0</v>
      </c>
      <c r="J85" s="24">
        <f t="shared" si="15"/>
        <v>25.084223999999999</v>
      </c>
      <c r="K85" s="24">
        <f t="shared" si="16"/>
        <v>0</v>
      </c>
      <c r="L85" s="24">
        <f t="shared" si="10"/>
        <v>20.616096599999999</v>
      </c>
      <c r="M85" s="24">
        <f t="shared" si="17"/>
        <v>0</v>
      </c>
      <c r="N85" s="24">
        <f t="shared" si="18"/>
        <v>17.167015799999998</v>
      </c>
      <c r="O85" s="24">
        <f t="shared" si="19"/>
        <v>0</v>
      </c>
      <c r="P85" s="778"/>
    </row>
    <row r="86" spans="1:16" s="246" customFormat="1" ht="13.5" thickBot="1">
      <c r="A86" s="779"/>
      <c r="B86" s="72"/>
      <c r="C86" s="63" t="s">
        <v>256</v>
      </c>
      <c r="D86" s="176" t="s">
        <v>3875</v>
      </c>
      <c r="E86" s="233">
        <v>690.15</v>
      </c>
      <c r="F86" s="14">
        <f t="shared" si="11"/>
        <v>414.09</v>
      </c>
      <c r="G86" s="3">
        <f t="shared" si="12"/>
        <v>0</v>
      </c>
      <c r="H86" s="24">
        <f t="shared" si="13"/>
        <v>34.990605000000002</v>
      </c>
      <c r="I86" s="24">
        <f t="shared" si="14"/>
        <v>0</v>
      </c>
      <c r="J86" s="24">
        <f t="shared" si="15"/>
        <v>13.250879999999999</v>
      </c>
      <c r="K86" s="24">
        <f t="shared" si="16"/>
        <v>0</v>
      </c>
      <c r="L86" s="24">
        <f t="shared" si="10"/>
        <v>10.890566999999999</v>
      </c>
      <c r="M86" s="24">
        <f t="shared" si="17"/>
        <v>0</v>
      </c>
      <c r="N86" s="24">
        <f t="shared" si="18"/>
        <v>9.0685709999999986</v>
      </c>
      <c r="O86" s="24">
        <f t="shared" si="19"/>
        <v>0</v>
      </c>
      <c r="P86" s="778"/>
    </row>
    <row r="87" spans="1:16" s="246" customFormat="1" ht="13.5" thickBot="1">
      <c r="A87" s="779"/>
      <c r="B87" s="72"/>
      <c r="C87" s="399" t="s">
        <v>368</v>
      </c>
      <c r="D87" s="404" t="s">
        <v>434</v>
      </c>
      <c r="E87" s="233">
        <v>1000.45</v>
      </c>
      <c r="F87" s="14">
        <f t="shared" si="11"/>
        <v>600.27</v>
      </c>
      <c r="G87" s="3">
        <f t="shared" si="12"/>
        <v>0</v>
      </c>
      <c r="H87" s="24">
        <f t="shared" si="13"/>
        <v>50.722815000000004</v>
      </c>
      <c r="I87" s="24">
        <f t="shared" si="14"/>
        <v>0</v>
      </c>
      <c r="J87" s="24">
        <f t="shared" si="15"/>
        <v>19.208639999999999</v>
      </c>
      <c r="K87" s="24">
        <f t="shared" si="16"/>
        <v>0</v>
      </c>
      <c r="L87" s="24">
        <f t="shared" si="10"/>
        <v>15.787101</v>
      </c>
      <c r="M87" s="24">
        <f t="shared" si="17"/>
        <v>0</v>
      </c>
      <c r="N87" s="24">
        <f t="shared" si="18"/>
        <v>13.145912999999998</v>
      </c>
      <c r="O87" s="24">
        <f t="shared" si="19"/>
        <v>0</v>
      </c>
      <c r="P87" s="778"/>
    </row>
    <row r="88" spans="1:16" s="246" customFormat="1" ht="13.5" thickBot="1">
      <c r="A88" s="779"/>
      <c r="B88" s="249"/>
      <c r="C88" s="499" t="s">
        <v>257</v>
      </c>
      <c r="D88" s="404" t="s">
        <v>435</v>
      </c>
      <c r="E88" s="233">
        <v>1348</v>
      </c>
      <c r="F88" s="14">
        <f t="shared" si="11"/>
        <v>808.8</v>
      </c>
      <c r="G88" s="3">
        <f t="shared" si="12"/>
        <v>0</v>
      </c>
      <c r="H88" s="24">
        <f t="shared" si="13"/>
        <v>68.343599999999995</v>
      </c>
      <c r="I88" s="24">
        <f t="shared" si="14"/>
        <v>0</v>
      </c>
      <c r="J88" s="24">
        <f t="shared" si="15"/>
        <v>25.881599999999999</v>
      </c>
      <c r="K88" s="24">
        <f t="shared" si="16"/>
        <v>0</v>
      </c>
      <c r="L88" s="24">
        <f t="shared" si="10"/>
        <v>21.271439999999998</v>
      </c>
      <c r="M88" s="24">
        <f t="shared" si="17"/>
        <v>0</v>
      </c>
      <c r="N88" s="24">
        <f t="shared" si="18"/>
        <v>17.712719999999997</v>
      </c>
      <c r="O88" s="24">
        <f t="shared" si="19"/>
        <v>0</v>
      </c>
      <c r="P88" s="778"/>
    </row>
    <row r="89" spans="1:16" s="246" customFormat="1" ht="13.5" thickBot="1">
      <c r="A89" s="779"/>
      <c r="B89" s="249"/>
      <c r="C89" s="497" t="s">
        <v>258</v>
      </c>
      <c r="D89" s="405" t="s">
        <v>223</v>
      </c>
      <c r="E89" s="406">
        <v>56.71</v>
      </c>
      <c r="F89" s="14">
        <f t="shared" si="11"/>
        <v>34.025999999999996</v>
      </c>
      <c r="G89" s="3">
        <f t="shared" si="12"/>
        <v>0</v>
      </c>
      <c r="H89" s="24">
        <f t="shared" si="13"/>
        <v>2.875197</v>
      </c>
      <c r="I89" s="24">
        <f t="shared" si="14"/>
        <v>0</v>
      </c>
      <c r="J89" s="24">
        <f t="shared" si="15"/>
        <v>1.0888319999999998</v>
      </c>
      <c r="K89" s="24">
        <f t="shared" si="16"/>
        <v>0</v>
      </c>
      <c r="L89" s="24">
        <f t="shared" si="10"/>
        <v>0.8948837999999999</v>
      </c>
      <c r="M89" s="24">
        <f t="shared" si="17"/>
        <v>0</v>
      </c>
      <c r="N89" s="24">
        <f t="shared" si="18"/>
        <v>0.74516939999999987</v>
      </c>
      <c r="O89" s="24">
        <f t="shared" si="19"/>
        <v>0</v>
      </c>
      <c r="P89" s="778"/>
    </row>
    <row r="90" spans="1:16" s="246" customFormat="1" ht="13.5" thickBot="1">
      <c r="A90" s="779"/>
      <c r="B90" s="249"/>
      <c r="C90" s="400" t="s">
        <v>259</v>
      </c>
      <c r="D90" s="403" t="s">
        <v>436</v>
      </c>
      <c r="E90" s="377">
        <v>32.1</v>
      </c>
      <c r="F90" s="14">
        <f t="shared" si="11"/>
        <v>19.260000000000002</v>
      </c>
      <c r="G90" s="3">
        <f t="shared" si="12"/>
        <v>0</v>
      </c>
      <c r="H90" s="24">
        <f t="shared" si="13"/>
        <v>1.6274700000000002</v>
      </c>
      <c r="I90" s="24">
        <f t="shared" si="14"/>
        <v>0</v>
      </c>
      <c r="J90" s="24">
        <f t="shared" si="15"/>
        <v>0.61632000000000009</v>
      </c>
      <c r="K90" s="24">
        <f t="shared" si="16"/>
        <v>0</v>
      </c>
      <c r="L90" s="24">
        <f t="shared" si="10"/>
        <v>0.50653800000000004</v>
      </c>
      <c r="M90" s="24">
        <f t="shared" si="17"/>
        <v>0</v>
      </c>
      <c r="N90" s="24">
        <f t="shared" si="18"/>
        <v>0.421794</v>
      </c>
      <c r="O90" s="24">
        <f t="shared" si="19"/>
        <v>0</v>
      </c>
      <c r="P90" s="778"/>
    </row>
    <row r="91" spans="1:16" s="246" customFormat="1" ht="13.5" thickBot="1">
      <c r="A91" s="779"/>
      <c r="B91" s="72"/>
      <c r="C91" s="63" t="s">
        <v>527</v>
      </c>
      <c r="D91" s="176" t="s">
        <v>224</v>
      </c>
      <c r="E91" s="233">
        <v>35.31</v>
      </c>
      <c r="F91" s="14">
        <f t="shared" si="11"/>
        <v>21.186</v>
      </c>
      <c r="G91" s="3">
        <f t="shared" si="12"/>
        <v>0</v>
      </c>
      <c r="H91" s="24">
        <f t="shared" si="13"/>
        <v>1.7902170000000002</v>
      </c>
      <c r="I91" s="24">
        <f t="shared" si="14"/>
        <v>0</v>
      </c>
      <c r="J91" s="24">
        <f t="shared" si="15"/>
        <v>0.677952</v>
      </c>
      <c r="K91" s="24">
        <f t="shared" si="16"/>
        <v>0</v>
      </c>
      <c r="L91" s="24">
        <f t="shared" si="10"/>
        <v>0.55719180000000001</v>
      </c>
      <c r="M91" s="24">
        <f t="shared" si="17"/>
        <v>0</v>
      </c>
      <c r="N91" s="24">
        <f t="shared" si="18"/>
        <v>0.46397339999999998</v>
      </c>
      <c r="O91" s="24">
        <f t="shared" si="19"/>
        <v>0</v>
      </c>
      <c r="P91" s="778"/>
    </row>
    <row r="92" spans="1:16" s="246" customFormat="1" ht="13.5" thickBot="1">
      <c r="A92" s="779"/>
      <c r="B92" s="251"/>
      <c r="C92" s="63" t="s">
        <v>530</v>
      </c>
      <c r="D92" s="176" t="s">
        <v>3926</v>
      </c>
      <c r="E92" s="233">
        <v>306.02</v>
      </c>
      <c r="F92" s="14">
        <f t="shared" si="11"/>
        <v>183.61199999999999</v>
      </c>
      <c r="G92" s="3">
        <f t="shared" si="12"/>
        <v>0</v>
      </c>
      <c r="H92" s="24">
        <f t="shared" si="13"/>
        <v>15.515214</v>
      </c>
      <c r="I92" s="24">
        <f t="shared" si="14"/>
        <v>0</v>
      </c>
      <c r="J92" s="24">
        <f t="shared" si="15"/>
        <v>5.8755839999999999</v>
      </c>
      <c r="K92" s="24">
        <f t="shared" si="16"/>
        <v>0</v>
      </c>
      <c r="L92" s="24">
        <f t="shared" si="10"/>
        <v>4.8289955999999998</v>
      </c>
      <c r="M92" s="24">
        <f t="shared" si="17"/>
        <v>0</v>
      </c>
      <c r="N92" s="24">
        <f t="shared" si="18"/>
        <v>4.0211027999999995</v>
      </c>
      <c r="O92" s="24">
        <f t="shared" si="19"/>
        <v>0</v>
      </c>
      <c r="P92" s="778"/>
    </row>
    <row r="93" spans="1:16" s="246" customFormat="1" ht="13.5" thickBot="1">
      <c r="A93" s="779"/>
      <c r="B93" s="249"/>
      <c r="C93" s="63" t="s">
        <v>299</v>
      </c>
      <c r="D93" s="176" t="s">
        <v>437</v>
      </c>
      <c r="E93" s="233">
        <v>348.82</v>
      </c>
      <c r="F93" s="14">
        <f t="shared" si="11"/>
        <v>209.292</v>
      </c>
      <c r="G93" s="3">
        <f t="shared" si="12"/>
        <v>0</v>
      </c>
      <c r="H93" s="24">
        <f t="shared" si="13"/>
        <v>17.685174</v>
      </c>
      <c r="I93" s="24">
        <f t="shared" si="14"/>
        <v>0</v>
      </c>
      <c r="J93" s="24">
        <f t="shared" si="15"/>
        <v>6.6973440000000002</v>
      </c>
      <c r="K93" s="24">
        <f t="shared" si="16"/>
        <v>0</v>
      </c>
      <c r="L93" s="24">
        <f t="shared" si="10"/>
        <v>5.5043796</v>
      </c>
      <c r="M93" s="24">
        <f t="shared" si="17"/>
        <v>0</v>
      </c>
      <c r="N93" s="24">
        <f t="shared" si="18"/>
        <v>4.5834947999999995</v>
      </c>
      <c r="O93" s="24">
        <f t="shared" si="19"/>
        <v>0</v>
      </c>
      <c r="P93" s="778"/>
    </row>
    <row r="94" spans="1:16" s="120" customFormat="1" ht="13.5" thickBot="1">
      <c r="A94" s="779"/>
      <c r="B94" s="252"/>
      <c r="C94" s="392" t="s">
        <v>532</v>
      </c>
      <c r="D94" s="395" t="s">
        <v>3952</v>
      </c>
      <c r="E94" s="324">
        <v>2942.5</v>
      </c>
      <c r="F94" s="14">
        <f t="shared" si="11"/>
        <v>1765.5</v>
      </c>
      <c r="G94" s="3">
        <f t="shared" si="12"/>
        <v>0</v>
      </c>
      <c r="H94" s="24">
        <f t="shared" si="13"/>
        <v>149.18475000000001</v>
      </c>
      <c r="I94" s="24">
        <f t="shared" si="14"/>
        <v>0</v>
      </c>
      <c r="J94" s="24">
        <f t="shared" si="15"/>
        <v>56.496000000000002</v>
      </c>
      <c r="K94" s="24">
        <f t="shared" si="16"/>
        <v>0</v>
      </c>
      <c r="L94" s="24">
        <f t="shared" si="10"/>
        <v>46.432650000000002</v>
      </c>
      <c r="M94" s="24">
        <f t="shared" si="17"/>
        <v>0</v>
      </c>
      <c r="N94" s="24">
        <f t="shared" si="18"/>
        <v>38.664450000000002</v>
      </c>
      <c r="O94" s="24">
        <f t="shared" si="19"/>
        <v>0</v>
      </c>
      <c r="P94" s="778"/>
    </row>
    <row r="95" spans="1:16" s="246" customFormat="1" ht="13.5" thickBot="1">
      <c r="A95" s="781"/>
      <c r="B95" s="253"/>
      <c r="C95" s="63" t="s">
        <v>369</v>
      </c>
      <c r="D95" s="176" t="s">
        <v>3913</v>
      </c>
      <c r="E95" s="233">
        <v>5896.77</v>
      </c>
      <c r="F95" s="14">
        <f t="shared" si="11"/>
        <v>3538.0620000000004</v>
      </c>
      <c r="G95" s="3">
        <f t="shared" si="12"/>
        <v>0</v>
      </c>
      <c r="H95" s="24">
        <f t="shared" si="13"/>
        <v>298.96623900000003</v>
      </c>
      <c r="I95" s="24">
        <f t="shared" si="14"/>
        <v>0</v>
      </c>
      <c r="J95" s="24">
        <f t="shared" si="15"/>
        <v>113.21798400000002</v>
      </c>
      <c r="K95" s="24">
        <f t="shared" si="16"/>
        <v>0</v>
      </c>
      <c r="L95" s="24">
        <f t="shared" si="10"/>
        <v>93.051030600000004</v>
      </c>
      <c r="M95" s="24">
        <f t="shared" si="17"/>
        <v>0</v>
      </c>
      <c r="N95" s="24">
        <f t="shared" si="18"/>
        <v>77.4835578</v>
      </c>
      <c r="O95" s="24">
        <f t="shared" si="19"/>
        <v>0</v>
      </c>
      <c r="P95" s="778"/>
    </row>
    <row r="96" spans="1:16" s="246" customFormat="1" ht="15">
      <c r="A96" s="376"/>
      <c r="B96" s="390"/>
      <c r="C96" s="390"/>
      <c r="D96" s="979" t="s">
        <v>65</v>
      </c>
      <c r="E96" s="972"/>
      <c r="F96" s="972"/>
      <c r="G96" s="6">
        <f t="array" ref="G96">SUM(G46:G95)+G37:G46:G95+G40:G46:G95+G43</f>
        <v>0</v>
      </c>
      <c r="H96" s="112" t="s">
        <v>66</v>
      </c>
      <c r="I96" s="6">
        <f t="array" ref="I96">SUM(I46:I95)+I37:I46:I95+I40:I46:I95+I43</f>
        <v>0</v>
      </c>
      <c r="J96" s="112" t="s">
        <v>67</v>
      </c>
      <c r="K96" s="6">
        <f t="array" ref="K96">SUM(K46:K95)+K37:K46:K95+K40:K46:K95+K43</f>
        <v>0</v>
      </c>
      <c r="L96" s="112" t="s">
        <v>68</v>
      </c>
      <c r="M96" s="6">
        <f t="array" ref="M96">SUM(M46:M95)+M37:M46:M95+M40:M46:M95+M43</f>
        <v>0</v>
      </c>
      <c r="N96" s="112" t="s">
        <v>69</v>
      </c>
      <c r="O96" s="6">
        <f t="array" ref="O96">SUM(O46:O95)+O37:O46:O95+O40:O46:O95+O43</f>
        <v>0</v>
      </c>
      <c r="P96" s="376"/>
    </row>
    <row r="97" spans="1:16" s="254" customFormat="1">
      <c r="A97" s="390"/>
      <c r="B97" s="390"/>
      <c r="C97" s="390"/>
      <c r="D97" s="390"/>
      <c r="E97" s="390"/>
      <c r="F97" s="782"/>
      <c r="G97" s="782"/>
      <c r="H97" s="783"/>
      <c r="I97" s="390"/>
      <c r="J97" s="390"/>
      <c r="K97" s="390"/>
      <c r="L97" s="390"/>
      <c r="M97" s="390"/>
      <c r="N97" s="390"/>
      <c r="O97" s="390"/>
      <c r="P97" s="390"/>
    </row>
    <row r="98" spans="1:16" s="254" customFormat="1" ht="15" customHeight="1">
      <c r="A98" s="390"/>
      <c r="B98" s="255"/>
      <c r="C98" s="390"/>
      <c r="D98" s="390"/>
      <c r="E98" s="390"/>
      <c r="F98" s="782"/>
      <c r="G98" s="782"/>
      <c r="H98" s="390"/>
      <c r="I98" s="390"/>
      <c r="J98" s="390"/>
      <c r="K98" s="390"/>
      <c r="L98" s="390"/>
      <c r="M98" s="390"/>
      <c r="N98" s="390"/>
      <c r="O98" s="390"/>
      <c r="P98" s="390"/>
    </row>
    <row r="99" spans="1:16" s="254" customFormat="1" ht="15" customHeight="1">
      <c r="A99" s="390"/>
      <c r="B99" s="255"/>
      <c r="C99" s="390"/>
      <c r="D99" s="390"/>
      <c r="E99" s="390"/>
      <c r="F99" s="782"/>
      <c r="G99" s="782"/>
      <c r="H99" s="390"/>
      <c r="I99" s="390"/>
      <c r="J99" s="390"/>
      <c r="K99" s="390"/>
      <c r="L99" s="390"/>
      <c r="M99" s="390"/>
      <c r="N99" s="390"/>
      <c r="O99" s="390"/>
      <c r="P99" s="390"/>
    </row>
    <row r="100" spans="1:16" s="254" customFormat="1">
      <c r="A100" s="390"/>
      <c r="B100" s="390"/>
      <c r="C100" s="390"/>
      <c r="D100" s="390"/>
      <c r="E100" s="390"/>
      <c r="F100" s="782"/>
      <c r="G100" s="782"/>
      <c r="H100" s="390"/>
      <c r="I100" s="390"/>
      <c r="J100" s="390"/>
      <c r="K100" s="390"/>
      <c r="L100" s="390"/>
      <c r="M100" s="390"/>
      <c r="N100" s="390"/>
      <c r="O100" s="390"/>
      <c r="P100" s="390"/>
    </row>
    <row r="101" spans="1:16" s="254" customFormat="1">
      <c r="A101" s="390"/>
      <c r="B101" s="390"/>
      <c r="C101" s="390"/>
      <c r="D101" s="390"/>
      <c r="E101" s="390"/>
      <c r="F101" s="782"/>
      <c r="G101" s="782"/>
      <c r="H101" s="390"/>
      <c r="I101" s="390"/>
      <c r="J101" s="390"/>
      <c r="K101" s="390"/>
      <c r="L101" s="390"/>
      <c r="M101" s="390"/>
      <c r="N101" s="390"/>
      <c r="O101" s="390"/>
      <c r="P101" s="390"/>
    </row>
    <row r="102" spans="1:16" s="254" customFormat="1">
      <c r="A102" s="390"/>
      <c r="B102" s="390"/>
      <c r="C102" s="390"/>
      <c r="D102" s="390"/>
      <c r="E102" s="390"/>
      <c r="F102" s="782"/>
      <c r="G102" s="782"/>
      <c r="H102" s="390"/>
      <c r="I102" s="390"/>
      <c r="J102" s="390"/>
      <c r="K102" s="390"/>
      <c r="L102" s="390"/>
      <c r="M102" s="390"/>
      <c r="N102" s="390"/>
      <c r="O102" s="390"/>
      <c r="P102" s="390"/>
    </row>
    <row r="103" spans="1:16" s="254" customFormat="1">
      <c r="A103" s="390"/>
      <c r="B103" s="390"/>
      <c r="C103" s="390"/>
      <c r="D103" s="390"/>
      <c r="E103" s="390"/>
      <c r="F103" s="782"/>
      <c r="G103" s="782"/>
      <c r="H103" s="390"/>
      <c r="I103" s="390"/>
      <c r="J103" s="390"/>
      <c r="K103" s="390"/>
      <c r="L103" s="390"/>
      <c r="M103" s="390"/>
      <c r="N103" s="390"/>
      <c r="O103" s="390"/>
      <c r="P103" s="390"/>
    </row>
    <row r="104" spans="1:16" s="254" customFormat="1">
      <c r="A104" s="390"/>
      <c r="B104" s="390"/>
      <c r="C104" s="390"/>
      <c r="D104" s="390"/>
      <c r="E104" s="390"/>
      <c r="F104" s="782"/>
      <c r="G104" s="782"/>
      <c r="H104" s="390"/>
      <c r="I104" s="390"/>
      <c r="J104" s="390"/>
      <c r="K104" s="390"/>
      <c r="L104" s="390"/>
      <c r="M104" s="390"/>
      <c r="N104" s="390"/>
      <c r="O104" s="390"/>
      <c r="P104" s="390"/>
    </row>
    <row r="105" spans="1:16" s="254" customFormat="1">
      <c r="A105" s="390"/>
      <c r="B105" s="390"/>
      <c r="C105" s="390"/>
      <c r="D105" s="390"/>
      <c r="E105" s="390"/>
      <c r="F105" s="782"/>
      <c r="G105" s="782"/>
      <c r="H105" s="390"/>
      <c r="I105" s="390"/>
      <c r="J105" s="390"/>
      <c r="K105" s="390"/>
      <c r="L105" s="390"/>
      <c r="M105" s="390"/>
      <c r="N105" s="390"/>
      <c r="O105" s="390"/>
      <c r="P105" s="390"/>
    </row>
    <row r="106" spans="1:16" s="254" customFormat="1">
      <c r="A106" s="390"/>
      <c r="B106" s="390"/>
      <c r="C106" s="390"/>
      <c r="D106" s="390"/>
      <c r="E106" s="390"/>
      <c r="F106" s="782"/>
      <c r="G106" s="782"/>
      <c r="H106" s="390"/>
      <c r="I106" s="390"/>
      <c r="J106" s="390"/>
      <c r="K106" s="390"/>
      <c r="L106" s="390"/>
      <c r="M106" s="390"/>
      <c r="N106" s="390"/>
      <c r="O106" s="390"/>
      <c r="P106" s="390"/>
    </row>
    <row r="107" spans="1:16" s="254" customFormat="1">
      <c r="A107" s="390"/>
      <c r="B107" s="390"/>
      <c r="C107" s="390"/>
      <c r="D107" s="390"/>
      <c r="E107" s="390"/>
      <c r="F107" s="782"/>
      <c r="G107" s="782"/>
      <c r="H107" s="390"/>
      <c r="I107" s="390"/>
      <c r="J107" s="390"/>
      <c r="K107" s="390"/>
      <c r="L107" s="390"/>
      <c r="M107" s="390"/>
      <c r="N107" s="390"/>
      <c r="O107" s="390"/>
      <c r="P107" s="390"/>
    </row>
    <row r="108" spans="1:16" s="254" customFormat="1">
      <c r="B108" s="390"/>
      <c r="C108" s="390"/>
      <c r="D108" s="390"/>
      <c r="E108" s="390"/>
      <c r="F108" s="782"/>
      <c r="G108" s="782"/>
    </row>
    <row r="109" spans="1:16" s="254" customFormat="1">
      <c r="B109" s="390"/>
      <c r="C109" s="390"/>
      <c r="D109" s="390"/>
      <c r="E109" s="390"/>
      <c r="F109" s="782"/>
      <c r="G109" s="782"/>
    </row>
    <row r="110" spans="1:16" s="254" customFormat="1">
      <c r="B110" s="390"/>
      <c r="C110" s="390"/>
      <c r="D110" s="390"/>
      <c r="E110" s="390"/>
      <c r="F110" s="782"/>
      <c r="G110" s="782"/>
    </row>
    <row r="111" spans="1:16" s="254" customFormat="1">
      <c r="B111" s="390"/>
      <c r="C111" s="390"/>
      <c r="D111" s="390"/>
      <c r="E111" s="390"/>
      <c r="F111" s="782"/>
      <c r="G111" s="782"/>
    </row>
    <row r="112" spans="1:16" s="254" customFormat="1">
      <c r="B112" s="390"/>
      <c r="C112" s="390"/>
      <c r="D112" s="390"/>
      <c r="E112" s="390"/>
      <c r="F112" s="782"/>
      <c r="G112" s="782"/>
    </row>
    <row r="113" spans="2:7" s="254" customFormat="1">
      <c r="B113" s="390"/>
      <c r="C113" s="390"/>
      <c r="D113" s="390"/>
      <c r="E113" s="390"/>
      <c r="F113" s="782"/>
      <c r="G113" s="782"/>
    </row>
    <row r="114" spans="2:7" s="254" customFormat="1">
      <c r="B114" s="390"/>
      <c r="C114" s="390"/>
      <c r="D114" s="390"/>
      <c r="E114" s="390"/>
      <c r="F114" s="782"/>
      <c r="G114" s="782"/>
    </row>
    <row r="115" spans="2:7" s="254" customFormat="1">
      <c r="B115" s="255"/>
      <c r="C115" s="255"/>
      <c r="D115" s="390"/>
      <c r="E115" s="390"/>
      <c r="F115" s="782"/>
      <c r="G115" s="782"/>
    </row>
    <row r="116" spans="2:7" s="254" customFormat="1">
      <c r="B116" s="390"/>
      <c r="C116" s="390"/>
      <c r="D116" s="390"/>
      <c r="E116" s="390"/>
      <c r="F116" s="782"/>
      <c r="G116" s="782"/>
    </row>
    <row r="117" spans="2:7" s="254" customFormat="1">
      <c r="B117" s="390"/>
      <c r="C117" s="390"/>
      <c r="D117" s="390"/>
      <c r="E117" s="390"/>
      <c r="F117" s="782"/>
      <c r="G117" s="782"/>
    </row>
    <row r="118" spans="2:7" s="254" customFormat="1">
      <c r="B118" s="390"/>
      <c r="C118" s="390"/>
      <c r="D118" s="390"/>
      <c r="E118" s="390"/>
      <c r="F118" s="782"/>
      <c r="G118" s="782"/>
    </row>
    <row r="119" spans="2:7" s="254" customFormat="1">
      <c r="B119" s="390"/>
      <c r="C119" s="390"/>
      <c r="D119" s="390"/>
      <c r="E119" s="390"/>
      <c r="F119" s="782"/>
      <c r="G119" s="782"/>
    </row>
    <row r="120" spans="2:7" s="254" customFormat="1">
      <c r="B120" s="390"/>
      <c r="C120" s="390"/>
      <c r="D120" s="390"/>
      <c r="E120" s="390"/>
      <c r="F120" s="782"/>
      <c r="G120" s="782"/>
    </row>
    <row r="121" spans="2:7" s="254" customFormat="1">
      <c r="B121" s="390"/>
      <c r="C121" s="390"/>
      <c r="D121" s="390"/>
      <c r="E121" s="390"/>
      <c r="F121" s="782"/>
      <c r="G121" s="782"/>
    </row>
    <row r="122" spans="2:7" s="254" customFormat="1">
      <c r="B122" s="390"/>
      <c r="C122" s="390"/>
      <c r="D122" s="390"/>
      <c r="E122" s="390"/>
      <c r="F122" s="782"/>
      <c r="G122" s="782"/>
    </row>
    <row r="123" spans="2:7" s="254" customFormat="1">
      <c r="B123" s="390"/>
      <c r="C123" s="390"/>
      <c r="D123" s="390"/>
      <c r="E123" s="390"/>
      <c r="F123" s="782"/>
      <c r="G123" s="782"/>
    </row>
    <row r="124" spans="2:7" s="254" customFormat="1">
      <c r="F124" s="782"/>
      <c r="G124" s="782"/>
    </row>
    <row r="125" spans="2:7" s="254" customFormat="1">
      <c r="F125" s="782"/>
      <c r="G125" s="782"/>
    </row>
    <row r="126" spans="2:7" s="254" customFormat="1">
      <c r="F126" s="782"/>
      <c r="G126" s="782"/>
    </row>
    <row r="127" spans="2:7" s="254" customFormat="1">
      <c r="F127" s="782"/>
      <c r="G127" s="782"/>
    </row>
    <row r="128" spans="2:7" s="254" customFormat="1">
      <c r="F128" s="782"/>
      <c r="G128" s="782"/>
    </row>
    <row r="129" spans="6:7" s="254" customFormat="1">
      <c r="F129" s="782"/>
      <c r="G129" s="782"/>
    </row>
    <row r="130" spans="6:7" s="254" customFormat="1">
      <c r="F130" s="782"/>
      <c r="G130" s="782"/>
    </row>
    <row r="131" spans="6:7" s="254" customFormat="1">
      <c r="F131" s="782"/>
      <c r="G131" s="782"/>
    </row>
    <row r="132" spans="6:7" s="254" customFormat="1">
      <c r="F132" s="782"/>
      <c r="G132" s="782"/>
    </row>
    <row r="133" spans="6:7" s="254" customFormat="1">
      <c r="F133" s="782"/>
      <c r="G133" s="782"/>
    </row>
    <row r="134" spans="6:7" s="254" customFormat="1">
      <c r="F134" s="782"/>
      <c r="G134" s="782"/>
    </row>
    <row r="135" spans="6:7" s="254" customFormat="1">
      <c r="F135" s="782"/>
      <c r="G135" s="782"/>
    </row>
    <row r="136" spans="6:7" s="254" customFormat="1">
      <c r="F136" s="782"/>
      <c r="G136" s="782"/>
    </row>
    <row r="137" spans="6:7" s="254" customFormat="1">
      <c r="F137" s="782"/>
      <c r="G137" s="782"/>
    </row>
    <row r="138" spans="6:7" s="254" customFormat="1">
      <c r="F138" s="782"/>
      <c r="G138" s="782"/>
    </row>
    <row r="139" spans="6:7" s="254" customFormat="1">
      <c r="F139" s="782"/>
      <c r="G139" s="782"/>
    </row>
    <row r="140" spans="6:7" s="254" customFormat="1">
      <c r="F140" s="782"/>
      <c r="G140" s="782"/>
    </row>
    <row r="141" spans="6:7" s="254" customFormat="1">
      <c r="F141" s="782"/>
      <c r="G141" s="782"/>
    </row>
    <row r="142" spans="6:7" s="254" customFormat="1">
      <c r="F142" s="782"/>
      <c r="G142" s="782"/>
    </row>
    <row r="143" spans="6:7" s="254" customFormat="1">
      <c r="F143" s="782"/>
      <c r="G143" s="782"/>
    </row>
    <row r="144" spans="6:7" s="254" customFormat="1">
      <c r="F144" s="782"/>
      <c r="G144" s="782"/>
    </row>
    <row r="145" spans="6:7" s="254" customFormat="1">
      <c r="F145" s="782"/>
      <c r="G145" s="782"/>
    </row>
    <row r="146" spans="6:7" s="254" customFormat="1">
      <c r="F146" s="782"/>
      <c r="G146" s="782"/>
    </row>
    <row r="147" spans="6:7" s="254" customFormat="1">
      <c r="F147" s="782"/>
      <c r="G147" s="782"/>
    </row>
    <row r="148" spans="6:7" s="254" customFormat="1">
      <c r="F148" s="782"/>
      <c r="G148" s="782"/>
    </row>
    <row r="149" spans="6:7" s="254" customFormat="1">
      <c r="F149" s="782"/>
      <c r="G149" s="782"/>
    </row>
    <row r="150" spans="6:7" s="254" customFormat="1">
      <c r="F150" s="782"/>
      <c r="G150" s="782"/>
    </row>
    <row r="151" spans="6:7" s="254" customFormat="1">
      <c r="F151" s="782"/>
      <c r="G151" s="782"/>
    </row>
    <row r="152" spans="6:7" s="254" customFormat="1">
      <c r="F152" s="782"/>
      <c r="G152" s="782"/>
    </row>
    <row r="153" spans="6:7" s="254" customFormat="1">
      <c r="F153" s="782"/>
      <c r="G153" s="782"/>
    </row>
    <row r="154" spans="6:7" s="254" customFormat="1">
      <c r="F154" s="782"/>
      <c r="G154" s="782"/>
    </row>
    <row r="155" spans="6:7" s="254" customFormat="1">
      <c r="F155" s="782"/>
      <c r="G155" s="782"/>
    </row>
    <row r="156" spans="6:7" s="254" customFormat="1">
      <c r="F156" s="782"/>
      <c r="G156" s="782"/>
    </row>
    <row r="157" spans="6:7" s="254" customFormat="1">
      <c r="F157" s="782"/>
      <c r="G157" s="782"/>
    </row>
    <row r="158" spans="6:7" s="254" customFormat="1">
      <c r="F158" s="782"/>
      <c r="G158" s="782"/>
    </row>
    <row r="159" spans="6:7" s="254" customFormat="1">
      <c r="F159" s="782"/>
      <c r="G159" s="782"/>
    </row>
    <row r="160" spans="6:7" s="254" customFormat="1">
      <c r="F160" s="782"/>
      <c r="G160" s="782"/>
    </row>
    <row r="161" spans="6:7" s="254" customFormat="1">
      <c r="F161" s="782"/>
      <c r="G161" s="782"/>
    </row>
    <row r="162" spans="6:7" s="254" customFormat="1">
      <c r="F162" s="782"/>
      <c r="G162" s="782"/>
    </row>
    <row r="163" spans="6:7" s="254" customFormat="1">
      <c r="F163" s="782"/>
      <c r="G163" s="782"/>
    </row>
    <row r="164" spans="6:7" s="254" customFormat="1">
      <c r="F164" s="782"/>
      <c r="G164" s="782"/>
    </row>
    <row r="165" spans="6:7" s="254" customFormat="1">
      <c r="F165" s="782"/>
      <c r="G165" s="782"/>
    </row>
    <row r="166" spans="6:7" s="254" customFormat="1">
      <c r="F166" s="782"/>
      <c r="G166" s="782"/>
    </row>
    <row r="167" spans="6:7" s="254" customFormat="1">
      <c r="F167" s="782"/>
      <c r="G167" s="782"/>
    </row>
    <row r="168" spans="6:7" s="254" customFormat="1">
      <c r="F168" s="782"/>
      <c r="G168" s="782"/>
    </row>
    <row r="169" spans="6:7" s="254" customFormat="1">
      <c r="F169" s="782"/>
      <c r="G169" s="782"/>
    </row>
    <row r="170" spans="6:7" s="254" customFormat="1">
      <c r="F170" s="782"/>
      <c r="G170" s="782"/>
    </row>
    <row r="171" spans="6:7" s="254" customFormat="1">
      <c r="F171" s="782"/>
      <c r="G171" s="782"/>
    </row>
    <row r="172" spans="6:7" s="254" customFormat="1">
      <c r="F172" s="782"/>
      <c r="G172" s="782"/>
    </row>
    <row r="173" spans="6:7" s="254" customFormat="1">
      <c r="F173" s="782"/>
      <c r="G173" s="782"/>
    </row>
    <row r="174" spans="6:7" s="254" customFormat="1">
      <c r="F174" s="782"/>
      <c r="G174" s="782"/>
    </row>
    <row r="175" spans="6:7" s="254" customFormat="1">
      <c r="F175" s="782"/>
      <c r="G175" s="782"/>
    </row>
    <row r="176" spans="6:7" s="254" customFormat="1">
      <c r="F176" s="782"/>
      <c r="G176" s="782"/>
    </row>
    <row r="177" spans="6:8" s="254" customFormat="1">
      <c r="F177" s="782"/>
      <c r="G177" s="782"/>
    </row>
    <row r="178" spans="6:8" s="254" customFormat="1">
      <c r="F178" s="782"/>
      <c r="G178" s="782"/>
    </row>
    <row r="179" spans="6:8" s="254" customFormat="1">
      <c r="F179" s="782"/>
      <c r="G179" s="782"/>
    </row>
    <row r="180" spans="6:8" s="254" customFormat="1">
      <c r="F180" s="782"/>
      <c r="G180" s="782"/>
    </row>
    <row r="181" spans="6:8" s="254" customFormat="1">
      <c r="F181" s="782"/>
      <c r="G181" s="782"/>
    </row>
    <row r="182" spans="6:8" s="254" customFormat="1">
      <c r="F182" s="782"/>
      <c r="G182" s="782"/>
    </row>
    <row r="183" spans="6:8" s="254" customFormat="1">
      <c r="F183" s="782"/>
      <c r="G183" s="782"/>
    </row>
    <row r="184" spans="6:8" s="254" customFormat="1">
      <c r="F184" s="782"/>
      <c r="G184" s="782"/>
    </row>
    <row r="185" spans="6:8" s="254" customFormat="1">
      <c r="F185" s="782"/>
      <c r="G185" s="782"/>
    </row>
    <row r="186" spans="6:8" s="254" customFormat="1">
      <c r="F186" s="782"/>
      <c r="G186" s="782"/>
    </row>
    <row r="187" spans="6:8" s="254" customFormat="1">
      <c r="F187" s="782"/>
      <c r="G187" s="782"/>
    </row>
    <row r="188" spans="6:8" s="254" customFormat="1">
      <c r="F188" s="782"/>
      <c r="G188" s="782"/>
      <c r="H188" s="390"/>
    </row>
    <row r="189" spans="6:8" s="254" customFormat="1">
      <c r="F189" s="782"/>
      <c r="G189" s="782"/>
      <c r="H189" s="390"/>
    </row>
    <row r="190" spans="6:8" s="254" customFormat="1">
      <c r="F190" s="782"/>
      <c r="G190" s="782"/>
      <c r="H190" s="390"/>
    </row>
    <row r="191" spans="6:8" s="254" customFormat="1">
      <c r="F191" s="782"/>
      <c r="G191" s="782"/>
      <c r="H191" s="390"/>
    </row>
    <row r="192" spans="6:8" s="254" customFormat="1">
      <c r="F192" s="782"/>
      <c r="G192" s="782"/>
      <c r="H192" s="390"/>
    </row>
    <row r="193" spans="6:8" s="254" customFormat="1">
      <c r="F193" s="782"/>
      <c r="G193" s="782"/>
      <c r="H193" s="390"/>
    </row>
    <row r="194" spans="6:8" s="254" customFormat="1">
      <c r="F194" s="782"/>
      <c r="G194" s="782"/>
      <c r="H194" s="390"/>
    </row>
    <row r="195" spans="6:8" s="254" customFormat="1">
      <c r="F195" s="782"/>
      <c r="G195" s="782"/>
      <c r="H195" s="390"/>
    </row>
    <row r="196" spans="6:8" s="254" customFormat="1">
      <c r="F196" s="782"/>
      <c r="G196" s="782"/>
      <c r="H196" s="390"/>
    </row>
    <row r="197" spans="6:8" s="254" customFormat="1">
      <c r="F197" s="782"/>
      <c r="G197" s="782"/>
      <c r="H197" s="390"/>
    </row>
    <row r="198" spans="6:8" s="254" customFormat="1">
      <c r="F198" s="782"/>
      <c r="G198" s="782"/>
      <c r="H198" s="390"/>
    </row>
    <row r="199" spans="6:8" s="254" customFormat="1">
      <c r="F199" s="782"/>
      <c r="G199" s="782"/>
      <c r="H199" s="390"/>
    </row>
    <row r="200" spans="6:8" s="254" customFormat="1">
      <c r="F200" s="782"/>
      <c r="G200" s="782"/>
      <c r="H200" s="390"/>
    </row>
    <row r="201" spans="6:8" s="254" customFormat="1">
      <c r="F201" s="782"/>
      <c r="G201" s="782"/>
      <c r="H201" s="73"/>
    </row>
  </sheetData>
  <mergeCells count="57">
    <mergeCell ref="O40:O41"/>
    <mergeCell ref="I40:I41"/>
    <mergeCell ref="A5:O5"/>
    <mergeCell ref="L30:M30"/>
    <mergeCell ref="N30:O30"/>
    <mergeCell ref="I29:K29"/>
    <mergeCell ref="I30:K30"/>
    <mergeCell ref="A30:C30"/>
    <mergeCell ref="A28:C28"/>
    <mergeCell ref="E29:H29"/>
    <mergeCell ref="L27:O27"/>
    <mergeCell ref="E28:H28"/>
    <mergeCell ref="O37:O38"/>
    <mergeCell ref="E31:H31"/>
    <mergeCell ref="I31:K31"/>
    <mergeCell ref="H35:O35"/>
    <mergeCell ref="A4:O4"/>
    <mergeCell ref="L28:M28"/>
    <mergeCell ref="N28:O28"/>
    <mergeCell ref="F10:I10"/>
    <mergeCell ref="N32:O32"/>
    <mergeCell ref="N31:O31"/>
    <mergeCell ref="A32:C32"/>
    <mergeCell ref="A26:O26"/>
    <mergeCell ref="E27:K27"/>
    <mergeCell ref="N29:O29"/>
    <mergeCell ref="I28:K28"/>
    <mergeCell ref="A27:D27"/>
    <mergeCell ref="L29:M29"/>
    <mergeCell ref="E30:H30"/>
    <mergeCell ref="E32:H32"/>
    <mergeCell ref="A29:C29"/>
    <mergeCell ref="D96:F96"/>
    <mergeCell ref="K43:K44"/>
    <mergeCell ref="G43:G44"/>
    <mergeCell ref="I43:I44"/>
    <mergeCell ref="A45:O45"/>
    <mergeCell ref="O43:O44"/>
    <mergeCell ref="A43:A44"/>
    <mergeCell ref="B43:B44"/>
    <mergeCell ref="M43:M44"/>
    <mergeCell ref="A31:C31"/>
    <mergeCell ref="A40:A41"/>
    <mergeCell ref="A37:A38"/>
    <mergeCell ref="I32:K32"/>
    <mergeCell ref="L32:M32"/>
    <mergeCell ref="M40:M41"/>
    <mergeCell ref="K40:K41"/>
    <mergeCell ref="K37:K38"/>
    <mergeCell ref="L31:M31"/>
    <mergeCell ref="I37:I38"/>
    <mergeCell ref="B40:B41"/>
    <mergeCell ref="B37:B38"/>
    <mergeCell ref="G40:G41"/>
    <mergeCell ref="G37:G38"/>
    <mergeCell ref="F35:G35"/>
    <mergeCell ref="M37:M38"/>
  </mergeCells>
  <phoneticPr fontId="0" type="noConversion"/>
  <pageMargins left="0.25" right="0.23" top="0.37" bottom="0.43" header="0.18" footer="0.22"/>
  <pageSetup scale="35" firstPageNumber="6" orientation="landscape" useFirstPageNumber="1" r:id="rId1"/>
  <headerFooter alignWithMargins="0">
    <oddHeader>&amp;L&amp;"Arial,Bold"VITA CONTRACT #: VA-XXXXXX-VBS&amp;R&amp;"Arial,Bold"Segment # 15</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C715-F415-4DA4-8634-DF5E426998E5}">
  <sheetPr>
    <tabColor indexed="62"/>
  </sheetPr>
  <dimension ref="A1:P116"/>
  <sheetViews>
    <sheetView topLeftCell="A38" zoomScale="90" zoomScaleNormal="90" workbookViewId="0">
      <selection activeCell="E39" sqref="E39"/>
    </sheetView>
  </sheetViews>
  <sheetFormatPr defaultColWidth="8.85546875" defaultRowHeight="12.75"/>
  <cols>
    <col min="1" max="1" width="14.42578125" style="256" customWidth="1"/>
    <col min="2" max="2" width="9.42578125" style="256" customWidth="1"/>
    <col min="3" max="3" width="15.42578125" style="549" bestFit="1" customWidth="1"/>
    <col min="4" max="4" width="50.28515625" style="256" customWidth="1"/>
    <col min="5" max="5" width="17.42578125" style="256" customWidth="1"/>
    <col min="6" max="6" width="19" style="333" customWidth="1"/>
    <col min="7" max="7" width="15.42578125" style="256" customWidth="1"/>
    <col min="8" max="8" width="28.28515625" style="256" bestFit="1" customWidth="1"/>
    <col min="9" max="9" width="20.140625" style="256" customWidth="1"/>
    <col min="10" max="10" width="25" style="256" bestFit="1" customWidth="1"/>
    <col min="11" max="11" width="19" style="256" customWidth="1"/>
    <col min="12" max="12" width="25" style="256" bestFit="1" customWidth="1"/>
    <col min="13" max="13" width="17" style="256" customWidth="1"/>
    <col min="14" max="14" width="25" style="256" bestFit="1" customWidth="1"/>
    <col min="15" max="15" width="18.85546875" style="256" customWidth="1"/>
    <col min="16" max="16" width="12.42578125" style="256" customWidth="1"/>
    <col min="17" max="16384" width="8.85546875" style="256"/>
  </cols>
  <sheetData>
    <row r="1" spans="1:15" ht="13.5" thickBot="1">
      <c r="B1" s="259"/>
      <c r="C1" s="632"/>
      <c r="D1" s="258"/>
      <c r="E1" s="258"/>
      <c r="F1" s="259"/>
      <c r="G1" s="259"/>
      <c r="H1" s="259"/>
      <c r="I1" s="259"/>
      <c r="J1" s="259"/>
      <c r="K1" s="258"/>
      <c r="L1" s="259"/>
    </row>
    <row r="2" spans="1:15" ht="9" customHeight="1">
      <c r="A2" s="260"/>
      <c r="B2" s="264"/>
      <c r="C2" s="634"/>
      <c r="D2" s="262"/>
      <c r="E2" s="262"/>
      <c r="F2" s="263"/>
      <c r="G2" s="264"/>
      <c r="H2" s="263"/>
      <c r="I2" s="264"/>
      <c r="J2" s="264"/>
      <c r="K2" s="264"/>
      <c r="L2" s="264"/>
      <c r="M2" s="260"/>
      <c r="N2" s="260"/>
      <c r="O2" s="260"/>
    </row>
    <row r="3" spans="1:15" ht="10.5" customHeight="1">
      <c r="B3" s="265"/>
      <c r="C3" s="632"/>
      <c r="D3" s="258"/>
      <c r="E3" s="258"/>
      <c r="F3" s="259"/>
      <c r="G3" s="265"/>
      <c r="H3" s="259"/>
      <c r="I3" s="265"/>
      <c r="J3" s="265"/>
      <c r="K3" s="265"/>
      <c r="L3" s="265"/>
    </row>
    <row r="4" spans="1:15" ht="36" customHeight="1">
      <c r="A4" s="1043" t="s">
        <v>473</v>
      </c>
      <c r="B4" s="1020"/>
      <c r="C4" s="1020"/>
      <c r="D4" s="1020"/>
      <c r="E4" s="1020"/>
      <c r="F4" s="1020"/>
      <c r="G4" s="1020"/>
      <c r="H4" s="1020"/>
      <c r="I4" s="1020"/>
      <c r="J4" s="1020"/>
      <c r="K4" s="1020"/>
      <c r="L4" s="1020"/>
      <c r="M4" s="1020"/>
      <c r="N4" s="1020"/>
      <c r="O4" s="1020"/>
    </row>
    <row r="5" spans="1:15" s="266" customFormat="1" ht="37.5" customHeight="1">
      <c r="A5" s="1113" t="s">
        <v>357</v>
      </c>
      <c r="B5" s="1113"/>
      <c r="C5" s="1113"/>
      <c r="D5" s="1113"/>
      <c r="E5" s="1113"/>
      <c r="F5" s="1113"/>
      <c r="G5" s="1113"/>
      <c r="H5" s="1113"/>
      <c r="I5" s="1113"/>
      <c r="J5" s="1113"/>
      <c r="K5" s="1113"/>
      <c r="L5" s="1113"/>
      <c r="M5" s="1113"/>
      <c r="N5" s="1113"/>
      <c r="O5" s="1113"/>
    </row>
    <row r="6" spans="1:15" ht="12" customHeight="1" thickBot="1">
      <c r="A6" s="267"/>
      <c r="B6" s="267"/>
      <c r="C6" s="267"/>
      <c r="D6" s="267"/>
      <c r="E6" s="267"/>
      <c r="F6" s="267"/>
      <c r="G6" s="267"/>
      <c r="H6" s="267"/>
      <c r="I6" s="267"/>
      <c r="J6" s="267"/>
      <c r="K6" s="267"/>
      <c r="L6" s="267"/>
      <c r="M6" s="267"/>
      <c r="N6" s="267"/>
      <c r="O6" s="267"/>
    </row>
    <row r="8" spans="1:15" s="265" customFormat="1" ht="14.25">
      <c r="C8" s="282"/>
      <c r="F8" s="446"/>
      <c r="G8" s="446"/>
      <c r="H8" s="1046" t="s">
        <v>0</v>
      </c>
      <c r="I8" s="1046"/>
      <c r="J8" s="1046"/>
      <c r="K8" s="507"/>
    </row>
    <row r="9" spans="1:15" s="265" customFormat="1" ht="14.25">
      <c r="C9" s="282"/>
      <c r="H9" s="275" t="s">
        <v>1</v>
      </c>
      <c r="I9" s="157" t="s">
        <v>179</v>
      </c>
    </row>
    <row r="10" spans="1:15" s="265" customFormat="1">
      <c r="B10" s="282"/>
      <c r="C10" s="282"/>
      <c r="G10" s="282"/>
      <c r="H10" s="270" t="s">
        <v>3</v>
      </c>
      <c r="I10" s="185" t="s">
        <v>228</v>
      </c>
      <c r="J10" s="282"/>
      <c r="K10" s="273"/>
      <c r="L10" s="282"/>
    </row>
    <row r="11" spans="1:15" s="265" customFormat="1" ht="12.75" customHeight="1">
      <c r="B11" s="548"/>
      <c r="C11" s="282"/>
      <c r="F11" s="446"/>
      <c r="G11" s="548"/>
      <c r="H11" s="276" t="s">
        <v>7</v>
      </c>
      <c r="I11" s="370">
        <v>200000</v>
      </c>
      <c r="J11" s="548"/>
      <c r="L11" s="548"/>
    </row>
    <row r="12" spans="1:15" s="265" customFormat="1">
      <c r="B12" s="282"/>
      <c r="C12" s="282"/>
      <c r="F12" s="446"/>
      <c r="G12" s="282"/>
      <c r="H12" s="270" t="s">
        <v>8</v>
      </c>
      <c r="I12" s="371" t="s">
        <v>474</v>
      </c>
      <c r="J12" s="282"/>
      <c r="L12" s="282"/>
    </row>
    <row r="13" spans="1:15" s="265" customFormat="1">
      <c r="C13" s="673"/>
      <c r="F13" s="446"/>
      <c r="H13" s="270" t="s">
        <v>10</v>
      </c>
      <c r="I13" s="157" t="s">
        <v>182</v>
      </c>
    </row>
    <row r="14" spans="1:15" s="265" customFormat="1">
      <c r="C14" s="282"/>
      <c r="F14" s="446"/>
      <c r="H14" s="270" t="s">
        <v>183</v>
      </c>
      <c r="I14" s="157" t="s">
        <v>359</v>
      </c>
    </row>
    <row r="15" spans="1:15" s="265" customFormat="1">
      <c r="C15" s="282"/>
      <c r="F15" s="302"/>
      <c r="H15" s="270" t="s">
        <v>185</v>
      </c>
      <c r="I15" s="157" t="s">
        <v>475</v>
      </c>
    </row>
    <row r="16" spans="1:15" s="265" customFormat="1">
      <c r="C16" s="282"/>
      <c r="F16" s="446"/>
      <c r="H16" s="270" t="s">
        <v>14</v>
      </c>
      <c r="I16" s="157" t="s">
        <v>15</v>
      </c>
    </row>
    <row r="17" spans="1:15" s="265" customFormat="1">
      <c r="C17" s="282"/>
      <c r="F17" s="446"/>
      <c r="H17" s="270"/>
      <c r="I17" s="157" t="s">
        <v>187</v>
      </c>
    </row>
    <row r="18" spans="1:15" s="265" customFormat="1">
      <c r="C18" s="282"/>
      <c r="H18" s="270"/>
      <c r="I18" s="157" t="s">
        <v>188</v>
      </c>
    </row>
    <row r="19" spans="1:15" s="265" customFormat="1">
      <c r="C19" s="282"/>
      <c r="F19" s="446"/>
      <c r="H19" s="270" t="s">
        <v>16</v>
      </c>
      <c r="I19" s="157" t="s">
        <v>232</v>
      </c>
    </row>
    <row r="20" spans="1:15" s="265" customFormat="1">
      <c r="C20" s="282"/>
      <c r="F20" s="446"/>
      <c r="H20" s="270" t="s">
        <v>18</v>
      </c>
      <c r="I20" s="157" t="s">
        <v>190</v>
      </c>
    </row>
    <row r="21" spans="1:15" s="265" customFormat="1">
      <c r="B21" s="282"/>
      <c r="C21" s="282"/>
      <c r="F21" s="446"/>
      <c r="G21" s="282"/>
      <c r="H21" s="270" t="s">
        <v>20</v>
      </c>
      <c r="I21" s="185" t="s">
        <v>233</v>
      </c>
      <c r="J21" s="282"/>
      <c r="L21" s="282"/>
    </row>
    <row r="22" spans="1:15" s="265" customFormat="1" ht="12" customHeight="1">
      <c r="C22" s="282"/>
      <c r="F22" s="446"/>
      <c r="H22" s="270" t="s">
        <v>22</v>
      </c>
      <c r="I22" s="157" t="s">
        <v>234</v>
      </c>
    </row>
    <row r="23" spans="1:15" s="265" customFormat="1" ht="15.75" customHeight="1">
      <c r="C23" s="282"/>
      <c r="D23" s="1047"/>
      <c r="E23" s="277"/>
      <c r="F23" s="283"/>
      <c r="H23" s="270" t="s">
        <v>24</v>
      </c>
      <c r="I23" s="157" t="s">
        <v>361</v>
      </c>
      <c r="K23" s="674"/>
    </row>
    <row r="24" spans="1:15" s="265" customFormat="1" ht="12.75" customHeight="1">
      <c r="C24" s="282"/>
      <c r="D24" s="1047"/>
      <c r="E24" s="277"/>
      <c r="F24" s="283"/>
      <c r="H24" s="270" t="s">
        <v>26</v>
      </c>
      <c r="I24" s="157" t="s">
        <v>476</v>
      </c>
    </row>
    <row r="25" spans="1:15" s="265" customFormat="1" ht="12.75" customHeight="1">
      <c r="C25" s="282"/>
      <c r="D25" s="277"/>
      <c r="E25" s="277"/>
      <c r="F25" s="283"/>
      <c r="H25" s="270" t="s">
        <v>28</v>
      </c>
      <c r="I25" s="157" t="s">
        <v>363</v>
      </c>
    </row>
    <row r="26" spans="1:15" s="265" customFormat="1" ht="15" thickBot="1">
      <c r="A26" s="1111" t="s">
        <v>30</v>
      </c>
      <c r="B26" s="1167"/>
      <c r="C26" s="1167"/>
      <c r="D26" s="1167"/>
      <c r="E26" s="1167"/>
      <c r="F26" s="1167"/>
      <c r="G26" s="1167"/>
      <c r="H26" s="1167"/>
      <c r="I26" s="1167"/>
      <c r="J26" s="1167"/>
      <c r="K26" s="1167"/>
      <c r="L26" s="1167"/>
      <c r="M26" s="1167"/>
      <c r="N26" s="1167"/>
      <c r="O26" s="1167"/>
    </row>
    <row r="27" spans="1:15" s="265" customFormat="1" ht="14.25">
      <c r="A27" s="1105" t="s">
        <v>477</v>
      </c>
      <c r="B27" s="1106"/>
      <c r="C27" s="1106"/>
      <c r="D27" s="1107"/>
      <c r="E27" s="1108" t="s">
        <v>478</v>
      </c>
      <c r="F27" s="1168"/>
      <c r="G27" s="1168"/>
      <c r="H27" s="1168"/>
      <c r="I27" s="1168"/>
      <c r="J27" s="1169"/>
      <c r="K27" s="1105" t="s">
        <v>479</v>
      </c>
      <c r="L27" s="1106"/>
      <c r="M27" s="1106"/>
      <c r="N27" s="1106"/>
      <c r="O27" s="1107"/>
    </row>
    <row r="28" spans="1:15" s="265" customFormat="1" ht="12.75" customHeight="1">
      <c r="A28" s="1028" t="s">
        <v>33</v>
      </c>
      <c r="B28" s="1029"/>
      <c r="C28" s="1029"/>
      <c r="D28" s="279" t="s">
        <v>34</v>
      </c>
      <c r="E28" s="1028" t="s">
        <v>33</v>
      </c>
      <c r="F28" s="1029"/>
      <c r="G28" s="1029"/>
      <c r="H28" s="1029"/>
      <c r="I28" s="1093" t="s">
        <v>35</v>
      </c>
      <c r="J28" s="1117"/>
      <c r="K28" s="1028" t="s">
        <v>33</v>
      </c>
      <c r="L28" s="1029"/>
      <c r="M28" s="1029"/>
      <c r="N28" s="1095" t="s">
        <v>35</v>
      </c>
      <c r="O28" s="1096"/>
    </row>
    <row r="29" spans="1:15" s="265" customFormat="1" ht="12.75" customHeight="1">
      <c r="A29" s="1028" t="s">
        <v>199</v>
      </c>
      <c r="B29" s="1029"/>
      <c r="C29" s="1029"/>
      <c r="D29" s="280">
        <v>0</v>
      </c>
      <c r="E29" s="1028" t="s">
        <v>199</v>
      </c>
      <c r="F29" s="1029"/>
      <c r="G29" s="1029"/>
      <c r="H29" s="1029"/>
      <c r="I29" s="1102">
        <v>792</v>
      </c>
      <c r="J29" s="1170"/>
      <c r="K29" s="1028" t="s">
        <v>199</v>
      </c>
      <c r="L29" s="1029"/>
      <c r="M29" s="1029"/>
      <c r="N29" s="1103">
        <v>1305</v>
      </c>
      <c r="O29" s="1104"/>
    </row>
    <row r="30" spans="1:15" s="265" customFormat="1" ht="12.75" customHeight="1">
      <c r="A30" s="1028" t="s">
        <v>37</v>
      </c>
      <c r="B30" s="1029"/>
      <c r="C30" s="1029"/>
      <c r="D30" s="279" t="s">
        <v>38</v>
      </c>
      <c r="E30" s="1028" t="s">
        <v>37</v>
      </c>
      <c r="F30" s="1029"/>
      <c r="G30" s="1029"/>
      <c r="H30" s="1029"/>
      <c r="I30" s="1093" t="s">
        <v>396</v>
      </c>
      <c r="J30" s="1117"/>
      <c r="K30" s="1028" t="s">
        <v>37</v>
      </c>
      <c r="L30" s="1029"/>
      <c r="M30" s="1029"/>
      <c r="N30" s="1095" t="s">
        <v>480</v>
      </c>
      <c r="O30" s="1096"/>
    </row>
    <row r="31" spans="1:15" s="265" customFormat="1" ht="12.75" customHeight="1" thickBot="1">
      <c r="A31" s="1031" t="s">
        <v>202</v>
      </c>
      <c r="B31" s="1032"/>
      <c r="C31" s="1032"/>
      <c r="D31" s="281" t="s">
        <v>420</v>
      </c>
      <c r="E31" s="1031" t="s">
        <v>204</v>
      </c>
      <c r="F31" s="1032"/>
      <c r="G31" s="1032"/>
      <c r="H31" s="1032"/>
      <c r="I31" s="1097" t="s">
        <v>351</v>
      </c>
      <c r="J31" s="1116"/>
      <c r="K31" s="1031" t="s">
        <v>40</v>
      </c>
      <c r="L31" s="1032"/>
      <c r="M31" s="1032"/>
      <c r="N31" s="1099" t="s">
        <v>351</v>
      </c>
      <c r="O31" s="1100"/>
    </row>
    <row r="32" spans="1:15" s="265" customFormat="1" ht="12.75" customHeight="1">
      <c r="A32" s="547"/>
      <c r="B32" s="256"/>
      <c r="C32" s="256"/>
      <c r="E32" s="547"/>
      <c r="F32" s="256"/>
      <c r="I32" s="547"/>
      <c r="J32" s="256"/>
      <c r="M32" s="647"/>
    </row>
    <row r="33" spans="1:15" s="265" customFormat="1" ht="12.75" customHeight="1">
      <c r="C33" s="700"/>
      <c r="D33" s="277"/>
      <c r="E33" s="277"/>
      <c r="F33" s="283"/>
      <c r="G33" s="283"/>
      <c r="H33" s="283"/>
      <c r="I33" s="1059"/>
      <c r="J33" s="1059"/>
      <c r="K33" s="1059"/>
    </row>
    <row r="34" spans="1:15" s="265" customFormat="1" ht="12.75" customHeight="1" thickBot="1">
      <c r="C34" s="282"/>
      <c r="D34" s="277"/>
      <c r="E34" s="277"/>
      <c r="F34" s="283"/>
      <c r="G34" s="283"/>
      <c r="H34" s="283"/>
      <c r="I34" s="1059"/>
      <c r="J34" s="1059"/>
      <c r="K34" s="1059"/>
    </row>
    <row r="35" spans="1:15" s="265" customFormat="1" ht="12.75" customHeight="1">
      <c r="C35" s="282"/>
      <c r="D35" s="277"/>
      <c r="E35" s="277"/>
      <c r="F35" s="283"/>
      <c r="G35" s="283"/>
      <c r="H35" s="283"/>
      <c r="I35" s="1207"/>
      <c r="J35" s="1207"/>
      <c r="K35" s="1207"/>
    </row>
    <row r="36" spans="1:15" s="265" customFormat="1" ht="13.5" customHeight="1" thickBot="1">
      <c r="B36" s="288"/>
      <c r="C36" s="282"/>
      <c r="D36" s="277"/>
      <c r="E36" s="277"/>
      <c r="F36" s="283"/>
      <c r="G36" s="288"/>
      <c r="I36" s="288"/>
      <c r="J36" s="288"/>
      <c r="K36" s="288"/>
      <c r="L36" s="288"/>
    </row>
    <row r="37" spans="1:15" s="265" customFormat="1" ht="15.75" customHeight="1" thickBot="1">
      <c r="C37" s="282"/>
      <c r="F37" s="1063" t="s">
        <v>43</v>
      </c>
      <c r="G37" s="1022"/>
      <c r="H37" s="1023" t="s">
        <v>44</v>
      </c>
      <c r="I37" s="1024"/>
      <c r="J37" s="1101"/>
      <c r="K37" s="1003"/>
      <c r="L37" s="1003"/>
      <c r="M37" s="1003"/>
      <c r="N37" s="1003"/>
      <c r="O37" s="1025"/>
    </row>
    <row r="38" spans="1:15" s="291" customFormat="1" ht="62.25" customHeight="1" thickBot="1">
      <c r="A38" s="289" t="s">
        <v>45</v>
      </c>
      <c r="B38" s="289" t="s">
        <v>46</v>
      </c>
      <c r="C38" s="675" t="s">
        <v>47</v>
      </c>
      <c r="D38" s="290" t="s">
        <v>48</v>
      </c>
      <c r="E38" s="290" t="s">
        <v>49</v>
      </c>
      <c r="F38" s="290" t="s">
        <v>50</v>
      </c>
      <c r="G38" s="289" t="s">
        <v>51</v>
      </c>
      <c r="H38" s="290" t="s">
        <v>52</v>
      </c>
      <c r="I38" s="289" t="s">
        <v>51</v>
      </c>
      <c r="J38" s="290" t="s">
        <v>53</v>
      </c>
      <c r="K38" s="289" t="s">
        <v>51</v>
      </c>
      <c r="L38" s="290" t="s">
        <v>54</v>
      </c>
      <c r="M38" s="289" t="s">
        <v>51</v>
      </c>
      <c r="N38" s="290" t="s">
        <v>55</v>
      </c>
      <c r="O38" s="289" t="s">
        <v>51</v>
      </c>
    </row>
    <row r="39" spans="1:15" s="296" customFormat="1" ht="45.75" thickBot="1">
      <c r="A39" s="1089">
        <v>16</v>
      </c>
      <c r="B39" s="1184"/>
      <c r="C39" s="676" t="s">
        <v>481</v>
      </c>
      <c r="D39" s="677" t="s">
        <v>4050</v>
      </c>
      <c r="E39" s="678">
        <v>36521.1</v>
      </c>
      <c r="F39" s="679">
        <f>SUM(E39:E41)*(1-85%)</f>
        <v>5559.3150000000005</v>
      </c>
      <c r="G39" s="1187">
        <f>F39*B39</f>
        <v>0</v>
      </c>
      <c r="H39" s="680">
        <f>F39*0.0845</f>
        <v>469.7621175000001</v>
      </c>
      <c r="I39" s="1187">
        <f>H39*B39</f>
        <v>0</v>
      </c>
      <c r="J39" s="680">
        <f>F39*0.032</f>
        <v>177.89808000000002</v>
      </c>
      <c r="K39" s="1187">
        <f>J39*B39</f>
        <v>0</v>
      </c>
      <c r="L39" s="295">
        <f>F39*0.0263</f>
        <v>146.20998450000002</v>
      </c>
      <c r="M39" s="1026">
        <f>L39*B39</f>
        <v>0</v>
      </c>
      <c r="N39" s="295">
        <f>F39*0.0219</f>
        <v>121.74899850000001</v>
      </c>
      <c r="O39" s="1026">
        <f>N39*B39</f>
        <v>0</v>
      </c>
    </row>
    <row r="40" spans="1:15" s="291" customFormat="1" ht="13.5" thickBot="1">
      <c r="A40" s="1014"/>
      <c r="B40" s="1205"/>
      <c r="C40" s="681" t="s">
        <v>307</v>
      </c>
      <c r="D40" s="682" t="s">
        <v>240</v>
      </c>
      <c r="E40" s="320">
        <v>282</v>
      </c>
      <c r="F40" s="683" t="s">
        <v>35</v>
      </c>
      <c r="G40" s="1206"/>
      <c r="H40" s="683" t="s">
        <v>35</v>
      </c>
      <c r="I40" s="1206"/>
      <c r="J40" s="683" t="s">
        <v>35</v>
      </c>
      <c r="K40" s="1206"/>
      <c r="L40" s="301" t="s">
        <v>35</v>
      </c>
      <c r="M40" s="1192"/>
      <c r="N40" s="301" t="s">
        <v>35</v>
      </c>
      <c r="O40" s="1192"/>
    </row>
    <row r="41" spans="1:15" s="291" customFormat="1" ht="13.5" thickBot="1">
      <c r="A41" s="1091"/>
      <c r="B41" s="1172"/>
      <c r="C41" s="303" t="s">
        <v>56</v>
      </c>
      <c r="D41" s="701" t="s">
        <v>424</v>
      </c>
      <c r="E41" s="685">
        <v>259</v>
      </c>
      <c r="F41" s="692" t="s">
        <v>35</v>
      </c>
      <c r="G41" s="1186"/>
      <c r="H41" s="692" t="s">
        <v>35</v>
      </c>
      <c r="I41" s="1186"/>
      <c r="J41" s="692" t="s">
        <v>35</v>
      </c>
      <c r="K41" s="1186"/>
      <c r="L41" s="32" t="s">
        <v>35</v>
      </c>
      <c r="M41" s="1092"/>
      <c r="N41" s="32" t="s">
        <v>35</v>
      </c>
      <c r="O41" s="1092"/>
    </row>
    <row r="42" spans="1:15" s="291" customFormat="1" ht="13.5" thickBot="1">
      <c r="A42" s="687"/>
      <c r="B42" s="545"/>
      <c r="C42" s="545"/>
      <c r="D42" s="537"/>
      <c r="E42" s="564"/>
      <c r="F42" s="688"/>
      <c r="G42" s="538"/>
      <c r="H42" s="693"/>
      <c r="I42" s="538"/>
      <c r="J42" s="693"/>
      <c r="K42" s="539"/>
      <c r="L42" s="36"/>
      <c r="M42" s="34"/>
      <c r="N42" s="36"/>
      <c r="O42" s="35"/>
    </row>
    <row r="43" spans="1:15" s="296" customFormat="1" ht="45.75" thickBot="1">
      <c r="A43" s="1089" t="s">
        <v>482</v>
      </c>
      <c r="B43" s="1184"/>
      <c r="C43" s="676" t="s">
        <v>481</v>
      </c>
      <c r="D43" s="677" t="s">
        <v>4050</v>
      </c>
      <c r="E43" s="678">
        <v>36521.1</v>
      </c>
      <c r="F43" s="679">
        <f>SUM(E43:E45)*(1-85%)</f>
        <v>5559.3150000000005</v>
      </c>
      <c r="G43" s="1187">
        <f>F43*B43</f>
        <v>0</v>
      </c>
      <c r="H43" s="680">
        <f>F43*0.0845+I29/12</f>
        <v>535.76211750000016</v>
      </c>
      <c r="I43" s="1187">
        <f>H43*B43</f>
        <v>0</v>
      </c>
      <c r="J43" s="680">
        <f>F43*0.032+I29/12</f>
        <v>243.89808000000002</v>
      </c>
      <c r="K43" s="1187">
        <f>J43*B43</f>
        <v>0</v>
      </c>
      <c r="L43" s="295">
        <f>F43*0.0263+I29/12</f>
        <v>212.20998450000002</v>
      </c>
      <c r="M43" s="1026">
        <f>L43*B43</f>
        <v>0</v>
      </c>
      <c r="N43" s="295">
        <f>F43*0.0219+I29/12</f>
        <v>187.74899850000003</v>
      </c>
      <c r="O43" s="1026">
        <f>N43*B43</f>
        <v>0</v>
      </c>
    </row>
    <row r="44" spans="1:15" s="291" customFormat="1" ht="13.5" thickBot="1">
      <c r="A44" s="1014"/>
      <c r="B44" s="1205"/>
      <c r="C44" s="681" t="s">
        <v>307</v>
      </c>
      <c r="D44" s="682" t="s">
        <v>240</v>
      </c>
      <c r="E44" s="320">
        <v>282</v>
      </c>
      <c r="F44" s="683" t="s">
        <v>35</v>
      </c>
      <c r="G44" s="1206"/>
      <c r="H44" s="683" t="s">
        <v>35</v>
      </c>
      <c r="I44" s="1206"/>
      <c r="J44" s="683" t="s">
        <v>35</v>
      </c>
      <c r="K44" s="1206"/>
      <c r="L44" s="301" t="s">
        <v>35</v>
      </c>
      <c r="M44" s="1192"/>
      <c r="N44" s="301" t="s">
        <v>35</v>
      </c>
      <c r="O44" s="1192"/>
    </row>
    <row r="45" spans="1:15" s="291" customFormat="1" ht="13.5" thickBot="1">
      <c r="A45" s="1091"/>
      <c r="B45" s="1172"/>
      <c r="C45" s="303" t="s">
        <v>56</v>
      </c>
      <c r="D45" s="701" t="s">
        <v>424</v>
      </c>
      <c r="E45" s="685">
        <v>259</v>
      </c>
      <c r="F45" s="692" t="s">
        <v>35</v>
      </c>
      <c r="G45" s="1186"/>
      <c r="H45" s="692" t="s">
        <v>35</v>
      </c>
      <c r="I45" s="1186"/>
      <c r="J45" s="692" t="s">
        <v>35</v>
      </c>
      <c r="K45" s="1186"/>
      <c r="L45" s="32" t="s">
        <v>35</v>
      </c>
      <c r="M45" s="1092"/>
      <c r="N45" s="32" t="s">
        <v>35</v>
      </c>
      <c r="O45" s="1092"/>
    </row>
    <row r="46" spans="1:15" s="291" customFormat="1" ht="13.5" thickBot="1">
      <c r="A46" s="687"/>
      <c r="B46" s="545"/>
      <c r="C46" s="545"/>
      <c r="D46" s="537"/>
      <c r="E46" s="564"/>
      <c r="F46" s="688"/>
      <c r="G46" s="538"/>
      <c r="H46" s="693"/>
      <c r="I46" s="538"/>
      <c r="J46" s="693"/>
      <c r="K46" s="539"/>
      <c r="L46" s="36"/>
      <c r="M46" s="34"/>
      <c r="N46" s="36"/>
      <c r="O46" s="35"/>
    </row>
    <row r="47" spans="1:15" s="296" customFormat="1" ht="45.75" thickBot="1">
      <c r="A47" s="1089" t="s">
        <v>483</v>
      </c>
      <c r="B47" s="1184"/>
      <c r="C47" s="676" t="s">
        <v>481</v>
      </c>
      <c r="D47" s="677" t="s">
        <v>4050</v>
      </c>
      <c r="E47" s="678">
        <v>36521.1</v>
      </c>
      <c r="F47" s="679">
        <f>SUM(E47:E49)*(1-85%)</f>
        <v>5559.3150000000005</v>
      </c>
      <c r="G47" s="1187">
        <f>F47*B47</f>
        <v>0</v>
      </c>
      <c r="H47" s="680">
        <f>F47*0.0845+N29/12</f>
        <v>578.51211750000016</v>
      </c>
      <c r="I47" s="1187">
        <f>H47*B47</f>
        <v>0</v>
      </c>
      <c r="J47" s="680">
        <f>F47*0.032+N29/12</f>
        <v>286.64808000000005</v>
      </c>
      <c r="K47" s="1187">
        <f>J47*B47</f>
        <v>0</v>
      </c>
      <c r="L47" s="295">
        <f>F47*0.0263+N29/12</f>
        <v>254.95998450000002</v>
      </c>
      <c r="M47" s="1026">
        <f>L47*B47</f>
        <v>0</v>
      </c>
      <c r="N47" s="295">
        <f>F47*0.0219+N29/12</f>
        <v>230.49899850000003</v>
      </c>
      <c r="O47" s="1026">
        <f>N47*B47</f>
        <v>0</v>
      </c>
    </row>
    <row r="48" spans="1:15" s="291" customFormat="1" ht="13.5" thickBot="1">
      <c r="A48" s="1014"/>
      <c r="B48" s="1205"/>
      <c r="C48" s="681" t="s">
        <v>307</v>
      </c>
      <c r="D48" s="682" t="s">
        <v>240</v>
      </c>
      <c r="E48" s="320">
        <v>282</v>
      </c>
      <c r="F48" s="683" t="s">
        <v>35</v>
      </c>
      <c r="G48" s="1206"/>
      <c r="H48" s="683" t="s">
        <v>35</v>
      </c>
      <c r="I48" s="1206"/>
      <c r="J48" s="683" t="s">
        <v>35</v>
      </c>
      <c r="K48" s="1206"/>
      <c r="L48" s="301" t="s">
        <v>35</v>
      </c>
      <c r="M48" s="1192"/>
      <c r="N48" s="301" t="s">
        <v>35</v>
      </c>
      <c r="O48" s="1192"/>
    </row>
    <row r="49" spans="1:16" s="291" customFormat="1" ht="13.5" thickBot="1">
      <c r="A49" s="1091"/>
      <c r="B49" s="1172"/>
      <c r="C49" s="303" t="s">
        <v>56</v>
      </c>
      <c r="D49" s="701" t="s">
        <v>424</v>
      </c>
      <c r="E49" s="685">
        <v>259</v>
      </c>
      <c r="F49" s="692" t="s">
        <v>35</v>
      </c>
      <c r="G49" s="1186"/>
      <c r="H49" s="692" t="s">
        <v>35</v>
      </c>
      <c r="I49" s="1186"/>
      <c r="J49" s="692" t="s">
        <v>35</v>
      </c>
      <c r="K49" s="1186"/>
      <c r="L49" s="608" t="s">
        <v>35</v>
      </c>
      <c r="M49" s="1084"/>
      <c r="N49" s="608" t="s">
        <v>35</v>
      </c>
      <c r="O49" s="1084"/>
    </row>
    <row r="50" spans="1:16" s="519" customFormat="1" ht="13.5" customHeight="1" thickBot="1">
      <c r="A50" s="1204" t="s">
        <v>59</v>
      </c>
      <c r="B50" s="1003"/>
      <c r="C50" s="1003"/>
      <c r="D50" s="1003"/>
      <c r="E50" s="1003"/>
      <c r="F50" s="1004"/>
      <c r="G50" s="1004"/>
      <c r="H50" s="1004"/>
      <c r="I50" s="1004"/>
      <c r="J50" s="1004"/>
      <c r="K50" s="1004"/>
      <c r="L50" s="1004"/>
      <c r="M50" s="1004"/>
      <c r="N50" s="1004"/>
      <c r="O50" s="1005"/>
    </row>
    <row r="51" spans="1:16" s="291" customFormat="1" ht="13.5" thickBot="1">
      <c r="A51" s="1171"/>
      <c r="B51" s="694"/>
      <c r="C51" s="651" t="s">
        <v>103</v>
      </c>
      <c r="D51" s="298" t="s">
        <v>104</v>
      </c>
      <c r="E51" s="491">
        <v>129.99</v>
      </c>
      <c r="F51" s="702">
        <f t="shared" ref="F51:F100" si="0">E51*(1-40%)</f>
        <v>77.994</v>
      </c>
      <c r="G51" s="567">
        <f t="shared" ref="G51:G100" si="1">F51*B51</f>
        <v>0</v>
      </c>
      <c r="H51" s="567">
        <f t="shared" ref="H51:H80" si="2">F51*0.0845</f>
        <v>6.5904930000000004</v>
      </c>
      <c r="I51" s="567">
        <f t="shared" ref="I51:I100" si="3">H51*B51</f>
        <v>0</v>
      </c>
      <c r="J51" s="567">
        <f t="shared" ref="J51:J80" si="4">F51*0.032</f>
        <v>2.4958080000000002</v>
      </c>
      <c r="K51" s="567">
        <f t="shared" ref="K51:K100" si="5">J51*B51</f>
        <v>0</v>
      </c>
      <c r="L51" s="567">
        <f t="shared" ref="L51:L80" si="6">F51*0.0263</f>
        <v>2.0512421999999999</v>
      </c>
      <c r="M51" s="567">
        <f t="shared" ref="M51:M100" si="7">L51*B51</f>
        <v>0</v>
      </c>
      <c r="N51" s="567">
        <f t="shared" ref="N51:N80" si="8">F51*0.0219</f>
        <v>1.7080686</v>
      </c>
      <c r="O51" s="567">
        <f t="shared" ref="O51:O100" si="9">N51*B51</f>
        <v>0</v>
      </c>
      <c r="P51" s="568"/>
    </row>
    <row r="52" spans="1:16" s="291" customFormat="1" ht="13.5" thickBot="1">
      <c r="A52" s="1172"/>
      <c r="B52" s="695"/>
      <c r="C52" s="297" t="s">
        <v>105</v>
      </c>
      <c r="D52" s="298" t="s">
        <v>325</v>
      </c>
      <c r="E52" s="491">
        <v>399</v>
      </c>
      <c r="F52" s="320">
        <f t="shared" si="0"/>
        <v>239.39999999999998</v>
      </c>
      <c r="G52" s="566">
        <f t="shared" si="1"/>
        <v>0</v>
      </c>
      <c r="H52" s="567">
        <f t="shared" si="2"/>
        <v>20.229299999999999</v>
      </c>
      <c r="I52" s="567">
        <f t="shared" si="3"/>
        <v>0</v>
      </c>
      <c r="J52" s="567">
        <f t="shared" si="4"/>
        <v>7.6607999999999992</v>
      </c>
      <c r="K52" s="567">
        <f t="shared" si="5"/>
        <v>0</v>
      </c>
      <c r="L52" s="567">
        <f t="shared" si="6"/>
        <v>6.2962199999999999</v>
      </c>
      <c r="M52" s="567">
        <f t="shared" si="7"/>
        <v>0</v>
      </c>
      <c r="N52" s="567">
        <f t="shared" si="8"/>
        <v>5.2428599999999994</v>
      </c>
      <c r="O52" s="567">
        <f t="shared" si="9"/>
        <v>0</v>
      </c>
      <c r="P52" s="568"/>
    </row>
    <row r="53" spans="1:16" s="291" customFormat="1" ht="13.5" thickBot="1">
      <c r="A53" s="1172"/>
      <c r="B53" s="695"/>
      <c r="C53" s="492" t="s">
        <v>107</v>
      </c>
      <c r="D53" s="494" t="s">
        <v>108</v>
      </c>
      <c r="E53" s="394">
        <v>250</v>
      </c>
      <c r="F53" s="320">
        <f t="shared" si="0"/>
        <v>150</v>
      </c>
      <c r="G53" s="566">
        <f t="shared" si="1"/>
        <v>0</v>
      </c>
      <c r="H53" s="567">
        <f t="shared" si="2"/>
        <v>12.675000000000001</v>
      </c>
      <c r="I53" s="567">
        <f t="shared" si="3"/>
        <v>0</v>
      </c>
      <c r="J53" s="567">
        <f t="shared" si="4"/>
        <v>4.8</v>
      </c>
      <c r="K53" s="567">
        <f t="shared" si="5"/>
        <v>0</v>
      </c>
      <c r="L53" s="567">
        <f t="shared" si="6"/>
        <v>3.9450000000000003</v>
      </c>
      <c r="M53" s="567">
        <f t="shared" si="7"/>
        <v>0</v>
      </c>
      <c r="N53" s="567">
        <f t="shared" si="8"/>
        <v>3.2849999999999997</v>
      </c>
      <c r="O53" s="567">
        <f t="shared" si="9"/>
        <v>0</v>
      </c>
      <c r="P53" s="568"/>
    </row>
    <row r="54" spans="1:16" s="291" customFormat="1" ht="13.5" thickBot="1">
      <c r="A54" s="1172"/>
      <c r="B54" s="695"/>
      <c r="C54" s="651" t="s">
        <v>109</v>
      </c>
      <c r="D54" s="696" t="s">
        <v>110</v>
      </c>
      <c r="E54" s="491">
        <v>400</v>
      </c>
      <c r="F54" s="320">
        <f t="shared" si="0"/>
        <v>240</v>
      </c>
      <c r="G54" s="566">
        <f t="shared" si="1"/>
        <v>0</v>
      </c>
      <c r="H54" s="567">
        <f t="shared" si="2"/>
        <v>20.28</v>
      </c>
      <c r="I54" s="567">
        <f t="shared" si="3"/>
        <v>0</v>
      </c>
      <c r="J54" s="567">
        <f t="shared" si="4"/>
        <v>7.68</v>
      </c>
      <c r="K54" s="567">
        <f t="shared" si="5"/>
        <v>0</v>
      </c>
      <c r="L54" s="567">
        <f t="shared" si="6"/>
        <v>6.3120000000000003</v>
      </c>
      <c r="M54" s="567">
        <f t="shared" si="7"/>
        <v>0</v>
      </c>
      <c r="N54" s="567">
        <f t="shared" si="8"/>
        <v>5.2560000000000002</v>
      </c>
      <c r="O54" s="567">
        <f t="shared" si="9"/>
        <v>0</v>
      </c>
      <c r="P54" s="568"/>
    </row>
    <row r="55" spans="1:16" s="291" customFormat="1" ht="13.5" thickBot="1">
      <c r="A55" s="1172"/>
      <c r="B55" s="695"/>
      <c r="C55" s="297" t="s">
        <v>111</v>
      </c>
      <c r="D55" s="298" t="s">
        <v>112</v>
      </c>
      <c r="E55" s="491">
        <v>499</v>
      </c>
      <c r="F55" s="320">
        <f t="shared" si="0"/>
        <v>299.39999999999998</v>
      </c>
      <c r="G55" s="566">
        <f t="shared" si="1"/>
        <v>0</v>
      </c>
      <c r="H55" s="567">
        <f t="shared" si="2"/>
        <v>25.299299999999999</v>
      </c>
      <c r="I55" s="567">
        <f t="shared" si="3"/>
        <v>0</v>
      </c>
      <c r="J55" s="567">
        <f t="shared" si="4"/>
        <v>9.5808</v>
      </c>
      <c r="K55" s="567">
        <f t="shared" si="5"/>
        <v>0</v>
      </c>
      <c r="L55" s="567">
        <f t="shared" si="6"/>
        <v>7.8742199999999993</v>
      </c>
      <c r="M55" s="567">
        <f t="shared" si="7"/>
        <v>0</v>
      </c>
      <c r="N55" s="567">
        <f t="shared" si="8"/>
        <v>6.5568599999999995</v>
      </c>
      <c r="O55" s="567">
        <f t="shared" si="9"/>
        <v>0</v>
      </c>
      <c r="P55" s="568"/>
    </row>
    <row r="56" spans="1:16" s="291" customFormat="1" ht="13.5" thickBot="1">
      <c r="A56" s="1172"/>
      <c r="B56" s="695"/>
      <c r="C56" s="297" t="s">
        <v>77</v>
      </c>
      <c r="D56" s="298" t="s">
        <v>78</v>
      </c>
      <c r="E56" s="491">
        <v>329</v>
      </c>
      <c r="F56" s="320">
        <f t="shared" si="0"/>
        <v>197.4</v>
      </c>
      <c r="G56" s="566">
        <f t="shared" si="1"/>
        <v>0</v>
      </c>
      <c r="H56" s="567">
        <f t="shared" si="2"/>
        <v>16.680300000000003</v>
      </c>
      <c r="I56" s="567">
        <f t="shared" si="3"/>
        <v>0</v>
      </c>
      <c r="J56" s="567">
        <f t="shared" si="4"/>
        <v>6.3168000000000006</v>
      </c>
      <c r="K56" s="567">
        <f t="shared" si="5"/>
        <v>0</v>
      </c>
      <c r="L56" s="567">
        <f t="shared" si="6"/>
        <v>5.1916200000000003</v>
      </c>
      <c r="M56" s="567">
        <f t="shared" si="7"/>
        <v>0</v>
      </c>
      <c r="N56" s="567">
        <f t="shared" si="8"/>
        <v>4.3230599999999999</v>
      </c>
      <c r="O56" s="567">
        <f t="shared" si="9"/>
        <v>0</v>
      </c>
      <c r="P56" s="568"/>
    </row>
    <row r="57" spans="1:16" s="291" customFormat="1" ht="13.5" thickBot="1">
      <c r="A57" s="1172"/>
      <c r="B57" s="695"/>
      <c r="C57" s="297" t="s">
        <v>241</v>
      </c>
      <c r="D57" s="298" t="s">
        <v>3922</v>
      </c>
      <c r="E57" s="491">
        <v>235.4</v>
      </c>
      <c r="F57" s="320">
        <f t="shared" si="0"/>
        <v>141.24</v>
      </c>
      <c r="G57" s="566">
        <f t="shared" si="1"/>
        <v>0</v>
      </c>
      <c r="H57" s="567">
        <f t="shared" si="2"/>
        <v>11.934780000000002</v>
      </c>
      <c r="I57" s="567">
        <f t="shared" si="3"/>
        <v>0</v>
      </c>
      <c r="J57" s="567">
        <f t="shared" si="4"/>
        <v>4.5196800000000001</v>
      </c>
      <c r="K57" s="567">
        <f t="shared" si="5"/>
        <v>0</v>
      </c>
      <c r="L57" s="567">
        <f t="shared" si="6"/>
        <v>3.7146120000000002</v>
      </c>
      <c r="M57" s="567">
        <f t="shared" si="7"/>
        <v>0</v>
      </c>
      <c r="N57" s="567">
        <f t="shared" si="8"/>
        <v>3.093156</v>
      </c>
      <c r="O57" s="567">
        <f t="shared" si="9"/>
        <v>0</v>
      </c>
      <c r="P57" s="568"/>
    </row>
    <row r="58" spans="1:16" s="291" customFormat="1" ht="13.5" thickBot="1">
      <c r="A58" s="1172"/>
      <c r="B58" s="695"/>
      <c r="C58" s="297" t="s">
        <v>242</v>
      </c>
      <c r="D58" s="298" t="s">
        <v>3854</v>
      </c>
      <c r="E58" s="491">
        <v>328.49</v>
      </c>
      <c r="F58" s="320">
        <f t="shared" si="0"/>
        <v>197.09399999999999</v>
      </c>
      <c r="G58" s="566">
        <f t="shared" si="1"/>
        <v>0</v>
      </c>
      <c r="H58" s="567">
        <f t="shared" si="2"/>
        <v>16.654443000000001</v>
      </c>
      <c r="I58" s="567">
        <f t="shared" si="3"/>
        <v>0</v>
      </c>
      <c r="J58" s="567">
        <f t="shared" si="4"/>
        <v>6.3070079999999997</v>
      </c>
      <c r="K58" s="567">
        <f t="shared" si="5"/>
        <v>0</v>
      </c>
      <c r="L58" s="567">
        <f t="shared" si="6"/>
        <v>5.1835721999999995</v>
      </c>
      <c r="M58" s="567">
        <f t="shared" si="7"/>
        <v>0</v>
      </c>
      <c r="N58" s="567">
        <f t="shared" si="8"/>
        <v>4.3163586</v>
      </c>
      <c r="O58" s="567">
        <f t="shared" si="9"/>
        <v>0</v>
      </c>
      <c r="P58" s="568"/>
    </row>
    <row r="59" spans="1:16" s="291" customFormat="1" ht="13.5" thickBot="1">
      <c r="A59" s="1172"/>
      <c r="B59" s="695"/>
      <c r="C59" s="651" t="s">
        <v>117</v>
      </c>
      <c r="D59" s="298" t="s">
        <v>118</v>
      </c>
      <c r="E59" s="491">
        <v>999.38</v>
      </c>
      <c r="F59" s="320">
        <f t="shared" si="0"/>
        <v>599.62799999999993</v>
      </c>
      <c r="G59" s="566">
        <f t="shared" si="1"/>
        <v>0</v>
      </c>
      <c r="H59" s="567">
        <f t="shared" si="2"/>
        <v>50.668565999999998</v>
      </c>
      <c r="I59" s="567">
        <f t="shared" si="3"/>
        <v>0</v>
      </c>
      <c r="J59" s="567">
        <f t="shared" si="4"/>
        <v>19.188095999999998</v>
      </c>
      <c r="K59" s="567">
        <f t="shared" si="5"/>
        <v>0</v>
      </c>
      <c r="L59" s="567">
        <f t="shared" si="6"/>
        <v>15.770216399999999</v>
      </c>
      <c r="M59" s="567">
        <f t="shared" si="7"/>
        <v>0</v>
      </c>
      <c r="N59" s="567">
        <f t="shared" si="8"/>
        <v>13.131853199999998</v>
      </c>
      <c r="O59" s="567">
        <f t="shared" si="9"/>
        <v>0</v>
      </c>
      <c r="P59" s="568"/>
    </row>
    <row r="60" spans="1:16" s="291" customFormat="1" ht="13.5" thickBot="1">
      <c r="A60" s="1172"/>
      <c r="B60" s="695"/>
      <c r="C60" s="653" t="s">
        <v>119</v>
      </c>
      <c r="D60" s="494" t="s">
        <v>120</v>
      </c>
      <c r="E60" s="394">
        <v>222.6</v>
      </c>
      <c r="F60" s="702">
        <f t="shared" si="0"/>
        <v>133.56</v>
      </c>
      <c r="G60" s="567">
        <f t="shared" si="1"/>
        <v>0</v>
      </c>
      <c r="H60" s="567">
        <f t="shared" si="2"/>
        <v>11.285820000000001</v>
      </c>
      <c r="I60" s="567">
        <f t="shared" si="3"/>
        <v>0</v>
      </c>
      <c r="J60" s="567">
        <f t="shared" si="4"/>
        <v>4.2739200000000004</v>
      </c>
      <c r="K60" s="567">
        <f t="shared" si="5"/>
        <v>0</v>
      </c>
      <c r="L60" s="567">
        <f t="shared" si="6"/>
        <v>3.5126280000000003</v>
      </c>
      <c r="M60" s="567">
        <f t="shared" si="7"/>
        <v>0</v>
      </c>
      <c r="N60" s="567">
        <f t="shared" si="8"/>
        <v>2.9249640000000001</v>
      </c>
      <c r="O60" s="567">
        <f t="shared" si="9"/>
        <v>0</v>
      </c>
      <c r="P60" s="568"/>
    </row>
    <row r="61" spans="1:16" s="291" customFormat="1" ht="26.25" thickBot="1">
      <c r="A61" s="1172"/>
      <c r="B61" s="695"/>
      <c r="C61" s="493" t="s">
        <v>244</v>
      </c>
      <c r="D61" s="494" t="s">
        <v>3855</v>
      </c>
      <c r="E61" s="394">
        <v>1259.3900000000001</v>
      </c>
      <c r="F61" s="702">
        <f t="shared" si="0"/>
        <v>755.63400000000001</v>
      </c>
      <c r="G61" s="567">
        <f t="shared" si="1"/>
        <v>0</v>
      </c>
      <c r="H61" s="567">
        <f t="shared" si="2"/>
        <v>63.851073000000007</v>
      </c>
      <c r="I61" s="567">
        <f t="shared" si="3"/>
        <v>0</v>
      </c>
      <c r="J61" s="567">
        <f t="shared" si="4"/>
        <v>24.180288000000001</v>
      </c>
      <c r="K61" s="567">
        <f t="shared" si="5"/>
        <v>0</v>
      </c>
      <c r="L61" s="567">
        <f t="shared" si="6"/>
        <v>19.873174200000001</v>
      </c>
      <c r="M61" s="567">
        <f t="shared" si="7"/>
        <v>0</v>
      </c>
      <c r="N61" s="567">
        <f t="shared" si="8"/>
        <v>16.548384599999999</v>
      </c>
      <c r="O61" s="567">
        <f t="shared" si="9"/>
        <v>0</v>
      </c>
      <c r="P61" s="568"/>
    </row>
    <row r="62" spans="1:16" s="291" customFormat="1" ht="13.5" thickBot="1">
      <c r="A62" s="1172"/>
      <c r="B62" s="695"/>
      <c r="C62" s="297" t="s">
        <v>3856</v>
      </c>
      <c r="D62" s="298" t="s">
        <v>3857</v>
      </c>
      <c r="E62" s="491">
        <v>1399.56</v>
      </c>
      <c r="F62" s="703">
        <f t="shared" si="0"/>
        <v>839.73599999999999</v>
      </c>
      <c r="G62" s="397">
        <f t="shared" si="1"/>
        <v>0</v>
      </c>
      <c r="H62" s="397">
        <f t="shared" si="2"/>
        <v>70.957692000000009</v>
      </c>
      <c r="I62" s="397">
        <f t="shared" si="3"/>
        <v>0</v>
      </c>
      <c r="J62" s="397">
        <f t="shared" si="4"/>
        <v>26.871552000000001</v>
      </c>
      <c r="K62" s="397">
        <f t="shared" si="5"/>
        <v>0</v>
      </c>
      <c r="L62" s="397">
        <f t="shared" si="6"/>
        <v>22.0850568</v>
      </c>
      <c r="M62" s="397">
        <f t="shared" si="7"/>
        <v>0</v>
      </c>
      <c r="N62" s="397">
        <f t="shared" si="8"/>
        <v>18.390218399999998</v>
      </c>
      <c r="O62" s="397">
        <f t="shared" si="9"/>
        <v>0</v>
      </c>
      <c r="P62" s="568"/>
    </row>
    <row r="63" spans="1:16" s="291" customFormat="1" ht="26.25" thickBot="1">
      <c r="A63" s="1172"/>
      <c r="B63" s="695"/>
      <c r="C63" s="588" t="s">
        <v>3858</v>
      </c>
      <c r="D63" s="298" t="s">
        <v>3920</v>
      </c>
      <c r="E63" s="491">
        <v>2172.17</v>
      </c>
      <c r="F63" s="320">
        <f t="shared" si="0"/>
        <v>1303.3019999999999</v>
      </c>
      <c r="G63" s="566">
        <f t="shared" si="1"/>
        <v>0</v>
      </c>
      <c r="H63" s="567">
        <f t="shared" si="2"/>
        <v>110.129019</v>
      </c>
      <c r="I63" s="567">
        <f t="shared" si="3"/>
        <v>0</v>
      </c>
      <c r="J63" s="567">
        <f t="shared" si="4"/>
        <v>41.705663999999999</v>
      </c>
      <c r="K63" s="567">
        <f t="shared" si="5"/>
        <v>0</v>
      </c>
      <c r="L63" s="567">
        <f t="shared" si="6"/>
        <v>34.276842599999995</v>
      </c>
      <c r="M63" s="567">
        <f t="shared" si="7"/>
        <v>0</v>
      </c>
      <c r="N63" s="567">
        <f t="shared" si="8"/>
        <v>28.542313799999999</v>
      </c>
      <c r="O63" s="567">
        <f t="shared" si="9"/>
        <v>0</v>
      </c>
      <c r="P63" s="568"/>
    </row>
    <row r="64" spans="1:16" s="291" customFormat="1" ht="26.25" thickBot="1">
      <c r="A64" s="1172"/>
      <c r="B64" s="695"/>
      <c r="C64" s="588" t="s">
        <v>3914</v>
      </c>
      <c r="D64" s="575" t="s">
        <v>3921</v>
      </c>
      <c r="E64" s="491">
        <v>4008.22</v>
      </c>
      <c r="F64" s="320">
        <f t="shared" si="0"/>
        <v>2404.9319999999998</v>
      </c>
      <c r="G64" s="566">
        <f t="shared" si="1"/>
        <v>0</v>
      </c>
      <c r="H64" s="567">
        <f t="shared" si="2"/>
        <v>203.21675400000001</v>
      </c>
      <c r="I64" s="567">
        <f t="shared" si="3"/>
        <v>0</v>
      </c>
      <c r="J64" s="567">
        <f t="shared" si="4"/>
        <v>76.957823999999988</v>
      </c>
      <c r="K64" s="567">
        <f t="shared" si="5"/>
        <v>0</v>
      </c>
      <c r="L64" s="567">
        <f t="shared" si="6"/>
        <v>63.249711599999998</v>
      </c>
      <c r="M64" s="567">
        <f t="shared" si="7"/>
        <v>0</v>
      </c>
      <c r="N64" s="567">
        <f t="shared" si="8"/>
        <v>52.66801079999999</v>
      </c>
      <c r="O64" s="567">
        <f t="shared" si="9"/>
        <v>0</v>
      </c>
      <c r="P64" s="568"/>
    </row>
    <row r="65" spans="1:16" s="291" customFormat="1" ht="26.25" thickBot="1">
      <c r="A65" s="1172"/>
      <c r="B65" s="695"/>
      <c r="C65" s="588" t="s">
        <v>3915</v>
      </c>
      <c r="D65" s="298" t="s">
        <v>3917</v>
      </c>
      <c r="E65" s="491">
        <v>3919.41</v>
      </c>
      <c r="F65" s="320">
        <f t="shared" si="0"/>
        <v>2351.6459999999997</v>
      </c>
      <c r="G65" s="566">
        <f t="shared" si="1"/>
        <v>0</v>
      </c>
      <c r="H65" s="567">
        <f t="shared" si="2"/>
        <v>198.71408699999998</v>
      </c>
      <c r="I65" s="567">
        <f t="shared" si="3"/>
        <v>0</v>
      </c>
      <c r="J65" s="567">
        <f t="shared" si="4"/>
        <v>75.25267199999999</v>
      </c>
      <c r="K65" s="567">
        <f t="shared" si="5"/>
        <v>0</v>
      </c>
      <c r="L65" s="567">
        <f t="shared" si="6"/>
        <v>61.848289799999996</v>
      </c>
      <c r="M65" s="567">
        <f t="shared" si="7"/>
        <v>0</v>
      </c>
      <c r="N65" s="567">
        <f t="shared" si="8"/>
        <v>51.50104739999999</v>
      </c>
      <c r="O65" s="567">
        <f t="shared" si="9"/>
        <v>0</v>
      </c>
      <c r="P65" s="568"/>
    </row>
    <row r="66" spans="1:16" s="291" customFormat="1" ht="26.25" thickBot="1">
      <c r="A66" s="1172"/>
      <c r="B66" s="695"/>
      <c r="C66" s="655" t="s">
        <v>3916</v>
      </c>
      <c r="D66" s="656" t="s">
        <v>3918</v>
      </c>
      <c r="E66" s="491">
        <v>5661.37</v>
      </c>
      <c r="F66" s="702">
        <f t="shared" si="0"/>
        <v>3396.8219999999997</v>
      </c>
      <c r="G66" s="567">
        <f t="shared" si="1"/>
        <v>0</v>
      </c>
      <c r="H66" s="567">
        <f t="shared" si="2"/>
        <v>287.03145899999998</v>
      </c>
      <c r="I66" s="567">
        <f t="shared" si="3"/>
        <v>0</v>
      </c>
      <c r="J66" s="567">
        <f t="shared" si="4"/>
        <v>108.69830399999999</v>
      </c>
      <c r="K66" s="567">
        <f t="shared" si="5"/>
        <v>0</v>
      </c>
      <c r="L66" s="567">
        <f t="shared" si="6"/>
        <v>89.336418599999988</v>
      </c>
      <c r="M66" s="567">
        <f t="shared" si="7"/>
        <v>0</v>
      </c>
      <c r="N66" s="567">
        <f t="shared" si="8"/>
        <v>74.390401799999992</v>
      </c>
      <c r="O66" s="567">
        <f t="shared" si="9"/>
        <v>0</v>
      </c>
      <c r="P66" s="568"/>
    </row>
    <row r="67" spans="1:16" s="291" customFormat="1" ht="13.5" thickBot="1">
      <c r="A67" s="1172"/>
      <c r="B67" s="695"/>
      <c r="C67" s="565" t="s">
        <v>3861</v>
      </c>
      <c r="D67" s="298" t="s">
        <v>3919</v>
      </c>
      <c r="E67" s="491">
        <v>1828.63</v>
      </c>
      <c r="F67" s="702">
        <f t="shared" si="0"/>
        <v>1097.1780000000001</v>
      </c>
      <c r="G67" s="567">
        <f t="shared" si="1"/>
        <v>0</v>
      </c>
      <c r="H67" s="567">
        <f t="shared" si="2"/>
        <v>92.711541000000011</v>
      </c>
      <c r="I67" s="567">
        <f t="shared" si="3"/>
        <v>0</v>
      </c>
      <c r="J67" s="567">
        <f t="shared" si="4"/>
        <v>35.109696000000007</v>
      </c>
      <c r="K67" s="567">
        <f t="shared" si="5"/>
        <v>0</v>
      </c>
      <c r="L67" s="567">
        <f t="shared" si="6"/>
        <v>28.855781400000005</v>
      </c>
      <c r="M67" s="567">
        <f t="shared" si="7"/>
        <v>0</v>
      </c>
      <c r="N67" s="567">
        <f t="shared" si="8"/>
        <v>24.028198200000002</v>
      </c>
      <c r="O67" s="567">
        <f t="shared" si="9"/>
        <v>0</v>
      </c>
      <c r="P67" s="568"/>
    </row>
    <row r="68" spans="1:16" s="291" customFormat="1" ht="13.5" thickBot="1">
      <c r="A68" s="1172"/>
      <c r="B68" s="695"/>
      <c r="C68" s="297" t="s">
        <v>123</v>
      </c>
      <c r="D68" s="298" t="s">
        <v>3923</v>
      </c>
      <c r="E68" s="491">
        <v>329.56</v>
      </c>
      <c r="F68" s="702">
        <f t="shared" si="0"/>
        <v>197.73599999999999</v>
      </c>
      <c r="G68" s="567">
        <f t="shared" si="1"/>
        <v>0</v>
      </c>
      <c r="H68" s="567">
        <f t="shared" si="2"/>
        <v>16.708691999999999</v>
      </c>
      <c r="I68" s="567">
        <f t="shared" si="3"/>
        <v>0</v>
      </c>
      <c r="J68" s="567">
        <f t="shared" si="4"/>
        <v>6.3275519999999998</v>
      </c>
      <c r="K68" s="567">
        <f t="shared" si="5"/>
        <v>0</v>
      </c>
      <c r="L68" s="567">
        <f t="shared" si="6"/>
        <v>5.2004567999999995</v>
      </c>
      <c r="M68" s="567">
        <f t="shared" si="7"/>
        <v>0</v>
      </c>
      <c r="N68" s="567">
        <f t="shared" si="8"/>
        <v>4.3304183999999992</v>
      </c>
      <c r="O68" s="567">
        <f t="shared" si="9"/>
        <v>0</v>
      </c>
      <c r="P68" s="568"/>
    </row>
    <row r="69" spans="1:16" s="291" customFormat="1" ht="13.5" thickBot="1">
      <c r="A69" s="1172"/>
      <c r="B69" s="695"/>
      <c r="C69" s="297" t="s">
        <v>3863</v>
      </c>
      <c r="D69" s="298" t="s">
        <v>3864</v>
      </c>
      <c r="E69" s="491">
        <v>352.03</v>
      </c>
      <c r="F69" s="702">
        <f t="shared" si="0"/>
        <v>211.21799999999999</v>
      </c>
      <c r="G69" s="567">
        <f t="shared" si="1"/>
        <v>0</v>
      </c>
      <c r="H69" s="567">
        <f t="shared" si="2"/>
        <v>17.847920999999999</v>
      </c>
      <c r="I69" s="567">
        <f t="shared" si="3"/>
        <v>0</v>
      </c>
      <c r="J69" s="567">
        <f t="shared" si="4"/>
        <v>6.7589759999999997</v>
      </c>
      <c r="K69" s="567">
        <f t="shared" si="5"/>
        <v>0</v>
      </c>
      <c r="L69" s="567">
        <f t="shared" si="6"/>
        <v>5.5550334000000001</v>
      </c>
      <c r="M69" s="567">
        <f t="shared" si="7"/>
        <v>0</v>
      </c>
      <c r="N69" s="567">
        <f t="shared" si="8"/>
        <v>4.6256741999999997</v>
      </c>
      <c r="O69" s="567">
        <f t="shared" si="9"/>
        <v>0</v>
      </c>
      <c r="P69" s="568"/>
    </row>
    <row r="70" spans="1:16" s="291" customFormat="1" ht="13.5" thickBot="1">
      <c r="A70" s="1172"/>
      <c r="B70" s="695"/>
      <c r="C70" s="651" t="s">
        <v>366</v>
      </c>
      <c r="D70" s="298" t="s">
        <v>367</v>
      </c>
      <c r="E70" s="491">
        <v>588.5</v>
      </c>
      <c r="F70" s="320">
        <f t="shared" si="0"/>
        <v>353.09999999999997</v>
      </c>
      <c r="G70" s="566">
        <f t="shared" si="1"/>
        <v>0</v>
      </c>
      <c r="H70" s="567">
        <f t="shared" si="2"/>
        <v>29.836949999999998</v>
      </c>
      <c r="I70" s="567">
        <f t="shared" si="3"/>
        <v>0</v>
      </c>
      <c r="J70" s="567">
        <f t="shared" si="4"/>
        <v>11.299199999999999</v>
      </c>
      <c r="K70" s="567">
        <f t="shared" si="5"/>
        <v>0</v>
      </c>
      <c r="L70" s="567">
        <f t="shared" si="6"/>
        <v>9.2865299999999991</v>
      </c>
      <c r="M70" s="567">
        <f t="shared" si="7"/>
        <v>0</v>
      </c>
      <c r="N70" s="567">
        <f t="shared" si="8"/>
        <v>7.7328899999999994</v>
      </c>
      <c r="O70" s="567">
        <f t="shared" si="9"/>
        <v>0</v>
      </c>
      <c r="P70" s="568"/>
    </row>
    <row r="71" spans="1:16" s="291" customFormat="1" ht="13.5" thickBot="1">
      <c r="A71" s="1172"/>
      <c r="B71" s="695"/>
      <c r="C71" s="297" t="s">
        <v>522</v>
      </c>
      <c r="D71" s="298" t="s">
        <v>432</v>
      </c>
      <c r="E71" s="491">
        <v>101.65</v>
      </c>
      <c r="F71" s="320">
        <f t="shared" si="0"/>
        <v>60.99</v>
      </c>
      <c r="G71" s="566">
        <f t="shared" si="1"/>
        <v>0</v>
      </c>
      <c r="H71" s="567">
        <f t="shared" si="2"/>
        <v>5.1536550000000005</v>
      </c>
      <c r="I71" s="567">
        <f t="shared" si="3"/>
        <v>0</v>
      </c>
      <c r="J71" s="567">
        <f t="shared" si="4"/>
        <v>1.9516800000000001</v>
      </c>
      <c r="K71" s="567">
        <f t="shared" si="5"/>
        <v>0</v>
      </c>
      <c r="L71" s="567">
        <f t="shared" si="6"/>
        <v>1.6040370000000002</v>
      </c>
      <c r="M71" s="567">
        <f t="shared" si="7"/>
        <v>0</v>
      </c>
      <c r="N71" s="567">
        <f t="shared" si="8"/>
        <v>1.3356809999999999</v>
      </c>
      <c r="O71" s="567">
        <f t="shared" si="9"/>
        <v>0</v>
      </c>
      <c r="P71" s="568"/>
    </row>
    <row r="72" spans="1:16" s="291" customFormat="1" ht="13.5" thickBot="1">
      <c r="A72" s="1172"/>
      <c r="B72" s="695"/>
      <c r="C72" s="297" t="s">
        <v>3865</v>
      </c>
      <c r="D72" s="298" t="s">
        <v>3866</v>
      </c>
      <c r="E72" s="491">
        <v>145.52000000000001</v>
      </c>
      <c r="F72" s="320">
        <f t="shared" si="0"/>
        <v>87.311999999999998</v>
      </c>
      <c r="G72" s="566">
        <f t="shared" si="1"/>
        <v>0</v>
      </c>
      <c r="H72" s="567">
        <f t="shared" si="2"/>
        <v>7.3778640000000006</v>
      </c>
      <c r="I72" s="567">
        <f t="shared" si="3"/>
        <v>0</v>
      </c>
      <c r="J72" s="567">
        <f t="shared" si="4"/>
        <v>2.793984</v>
      </c>
      <c r="K72" s="567">
        <f t="shared" si="5"/>
        <v>0</v>
      </c>
      <c r="L72" s="567">
        <f t="shared" si="6"/>
        <v>2.2963056000000002</v>
      </c>
      <c r="M72" s="567">
        <f t="shared" si="7"/>
        <v>0</v>
      </c>
      <c r="N72" s="567">
        <f t="shared" si="8"/>
        <v>1.9121328</v>
      </c>
      <c r="O72" s="567">
        <f t="shared" si="9"/>
        <v>0</v>
      </c>
      <c r="P72" s="568"/>
    </row>
    <row r="73" spans="1:16" s="291" customFormat="1" ht="13.5" thickBot="1">
      <c r="A73" s="1172"/>
      <c r="B73" s="695"/>
      <c r="C73" s="565" t="s">
        <v>127</v>
      </c>
      <c r="D73" s="298" t="s">
        <v>128</v>
      </c>
      <c r="E73" s="491">
        <v>148.72999999999999</v>
      </c>
      <c r="F73" s="320">
        <f t="shared" si="0"/>
        <v>89.237999999999985</v>
      </c>
      <c r="G73" s="566">
        <f t="shared" si="1"/>
        <v>0</v>
      </c>
      <c r="H73" s="567">
        <f t="shared" si="2"/>
        <v>7.5406109999999993</v>
      </c>
      <c r="I73" s="567">
        <f t="shared" si="3"/>
        <v>0</v>
      </c>
      <c r="J73" s="567">
        <f t="shared" si="4"/>
        <v>2.8556159999999995</v>
      </c>
      <c r="K73" s="567">
        <f t="shared" si="5"/>
        <v>0</v>
      </c>
      <c r="L73" s="567">
        <f t="shared" si="6"/>
        <v>2.3469593999999998</v>
      </c>
      <c r="M73" s="567">
        <f t="shared" si="7"/>
        <v>0</v>
      </c>
      <c r="N73" s="567">
        <f t="shared" si="8"/>
        <v>1.9543121999999997</v>
      </c>
      <c r="O73" s="567">
        <f t="shared" si="9"/>
        <v>0</v>
      </c>
      <c r="P73" s="568"/>
    </row>
    <row r="74" spans="1:16" s="291" customFormat="1" ht="13.5" thickBot="1">
      <c r="A74" s="1172"/>
      <c r="B74" s="695"/>
      <c r="C74" s="565" t="s">
        <v>129</v>
      </c>
      <c r="D74" s="298" t="s">
        <v>171</v>
      </c>
      <c r="E74" s="491">
        <v>785</v>
      </c>
      <c r="F74" s="320">
        <f t="shared" si="0"/>
        <v>471</v>
      </c>
      <c r="G74" s="566">
        <f t="shared" si="1"/>
        <v>0</v>
      </c>
      <c r="H74" s="567">
        <f t="shared" si="2"/>
        <v>39.799500000000002</v>
      </c>
      <c r="I74" s="567">
        <f t="shared" si="3"/>
        <v>0</v>
      </c>
      <c r="J74" s="567">
        <f t="shared" si="4"/>
        <v>15.072000000000001</v>
      </c>
      <c r="K74" s="567">
        <f t="shared" si="5"/>
        <v>0</v>
      </c>
      <c r="L74" s="567">
        <f t="shared" si="6"/>
        <v>12.3873</v>
      </c>
      <c r="M74" s="567">
        <f t="shared" si="7"/>
        <v>0</v>
      </c>
      <c r="N74" s="567">
        <f t="shared" si="8"/>
        <v>10.3149</v>
      </c>
      <c r="O74" s="567">
        <f t="shared" si="9"/>
        <v>0</v>
      </c>
      <c r="P74" s="568"/>
    </row>
    <row r="75" spans="1:16" s="291" customFormat="1" ht="13.5" thickBot="1">
      <c r="A75" s="1172"/>
      <c r="B75" s="695"/>
      <c r="C75" s="651" t="s">
        <v>131</v>
      </c>
      <c r="D75" s="298" t="s">
        <v>172</v>
      </c>
      <c r="E75" s="491">
        <v>821</v>
      </c>
      <c r="F75" s="320">
        <f t="shared" si="0"/>
        <v>492.59999999999997</v>
      </c>
      <c r="G75" s="566">
        <f t="shared" si="1"/>
        <v>0</v>
      </c>
      <c r="H75" s="567">
        <f t="shared" si="2"/>
        <v>41.624699999999997</v>
      </c>
      <c r="I75" s="567">
        <f t="shared" si="3"/>
        <v>0</v>
      </c>
      <c r="J75" s="567">
        <f t="shared" si="4"/>
        <v>15.763199999999999</v>
      </c>
      <c r="K75" s="567">
        <f t="shared" si="5"/>
        <v>0</v>
      </c>
      <c r="L75" s="567">
        <f t="shared" si="6"/>
        <v>12.95538</v>
      </c>
      <c r="M75" s="567">
        <f t="shared" si="7"/>
        <v>0</v>
      </c>
      <c r="N75" s="567">
        <f t="shared" si="8"/>
        <v>10.787939999999999</v>
      </c>
      <c r="O75" s="567">
        <f t="shared" si="9"/>
        <v>0</v>
      </c>
      <c r="P75" s="568"/>
    </row>
    <row r="76" spans="1:16" s="291" customFormat="1" ht="13.5" thickBot="1">
      <c r="A76" s="1172"/>
      <c r="B76" s="695"/>
      <c r="C76" s="651" t="s">
        <v>133</v>
      </c>
      <c r="D76" s="298" t="s">
        <v>134</v>
      </c>
      <c r="E76" s="491">
        <v>690</v>
      </c>
      <c r="F76" s="320">
        <f t="shared" si="0"/>
        <v>414</v>
      </c>
      <c r="G76" s="566">
        <f t="shared" si="1"/>
        <v>0</v>
      </c>
      <c r="H76" s="567">
        <f t="shared" si="2"/>
        <v>34.983000000000004</v>
      </c>
      <c r="I76" s="567">
        <f t="shared" si="3"/>
        <v>0</v>
      </c>
      <c r="J76" s="567">
        <f t="shared" si="4"/>
        <v>13.248000000000001</v>
      </c>
      <c r="K76" s="567">
        <f t="shared" si="5"/>
        <v>0</v>
      </c>
      <c r="L76" s="567">
        <f t="shared" si="6"/>
        <v>10.888199999999999</v>
      </c>
      <c r="M76" s="567">
        <f t="shared" si="7"/>
        <v>0</v>
      </c>
      <c r="N76" s="567">
        <f t="shared" si="8"/>
        <v>9.0665999999999993</v>
      </c>
      <c r="O76" s="567">
        <f t="shared" si="9"/>
        <v>0</v>
      </c>
      <c r="P76" s="568"/>
    </row>
    <row r="77" spans="1:16" s="291" customFormat="1" ht="13.5" thickBot="1">
      <c r="A77" s="1172"/>
      <c r="B77" s="695"/>
      <c r="C77" s="565" t="s">
        <v>135</v>
      </c>
      <c r="D77" s="590" t="s">
        <v>136</v>
      </c>
      <c r="E77" s="491">
        <v>191</v>
      </c>
      <c r="F77" s="320">
        <f t="shared" si="0"/>
        <v>114.6</v>
      </c>
      <c r="G77" s="566">
        <f t="shared" si="1"/>
        <v>0</v>
      </c>
      <c r="H77" s="567">
        <f t="shared" si="2"/>
        <v>9.6837</v>
      </c>
      <c r="I77" s="567">
        <f t="shared" si="3"/>
        <v>0</v>
      </c>
      <c r="J77" s="567">
        <f t="shared" si="4"/>
        <v>3.6671999999999998</v>
      </c>
      <c r="K77" s="567">
        <f t="shared" si="5"/>
        <v>0</v>
      </c>
      <c r="L77" s="567">
        <f t="shared" si="6"/>
        <v>3.0139800000000001</v>
      </c>
      <c r="M77" s="567">
        <f t="shared" si="7"/>
        <v>0</v>
      </c>
      <c r="N77" s="567">
        <f t="shared" si="8"/>
        <v>2.5097399999999999</v>
      </c>
      <c r="O77" s="567">
        <f t="shared" si="9"/>
        <v>0</v>
      </c>
      <c r="P77" s="568"/>
    </row>
    <row r="78" spans="1:16" s="291" customFormat="1" ht="13.5" thickBot="1">
      <c r="A78" s="1172"/>
      <c r="B78" s="695"/>
      <c r="C78" s="589" t="s">
        <v>137</v>
      </c>
      <c r="D78" s="590" t="s">
        <v>3867</v>
      </c>
      <c r="E78" s="491">
        <v>667.8</v>
      </c>
      <c r="F78" s="320">
        <f t="shared" si="0"/>
        <v>400.67999999999995</v>
      </c>
      <c r="G78" s="566">
        <f t="shared" si="1"/>
        <v>0</v>
      </c>
      <c r="H78" s="567">
        <f t="shared" si="2"/>
        <v>33.857459999999996</v>
      </c>
      <c r="I78" s="567">
        <f t="shared" si="3"/>
        <v>0</v>
      </c>
      <c r="J78" s="567">
        <f t="shared" si="4"/>
        <v>12.821759999999999</v>
      </c>
      <c r="K78" s="567">
        <f t="shared" si="5"/>
        <v>0</v>
      </c>
      <c r="L78" s="567">
        <f t="shared" si="6"/>
        <v>10.537883999999998</v>
      </c>
      <c r="M78" s="567">
        <f t="shared" si="7"/>
        <v>0</v>
      </c>
      <c r="N78" s="567">
        <f t="shared" si="8"/>
        <v>8.7748919999999995</v>
      </c>
      <c r="O78" s="567">
        <f t="shared" si="9"/>
        <v>0</v>
      </c>
      <c r="P78" s="568"/>
    </row>
    <row r="79" spans="1:16" s="291" customFormat="1" ht="27.6" customHeight="1" thickBot="1">
      <c r="A79" s="1172"/>
      <c r="B79" s="695"/>
      <c r="C79" s="591" t="s">
        <v>139</v>
      </c>
      <c r="D79" s="592" t="s">
        <v>140</v>
      </c>
      <c r="E79" s="657">
        <v>250</v>
      </c>
      <c r="F79" s="320">
        <f t="shared" si="0"/>
        <v>150</v>
      </c>
      <c r="G79" s="566">
        <f t="shared" si="1"/>
        <v>0</v>
      </c>
      <c r="H79" s="567">
        <f t="shared" si="2"/>
        <v>12.675000000000001</v>
      </c>
      <c r="I79" s="567">
        <f t="shared" si="3"/>
        <v>0</v>
      </c>
      <c r="J79" s="567">
        <f t="shared" si="4"/>
        <v>4.8</v>
      </c>
      <c r="K79" s="567">
        <f t="shared" si="5"/>
        <v>0</v>
      </c>
      <c r="L79" s="567">
        <f t="shared" si="6"/>
        <v>3.9450000000000003</v>
      </c>
      <c r="M79" s="567">
        <f t="shared" si="7"/>
        <v>0</v>
      </c>
      <c r="N79" s="567">
        <f t="shared" si="8"/>
        <v>3.2849999999999997</v>
      </c>
      <c r="O79" s="567">
        <f t="shared" si="9"/>
        <v>0</v>
      </c>
      <c r="P79" s="568"/>
    </row>
    <row r="80" spans="1:16" s="291" customFormat="1" ht="13.5" thickBot="1">
      <c r="A80" s="1172"/>
      <c r="B80" s="695"/>
      <c r="C80" s="297" t="s">
        <v>141</v>
      </c>
      <c r="D80" s="298" t="s">
        <v>174</v>
      </c>
      <c r="E80" s="491">
        <v>250</v>
      </c>
      <c r="F80" s="320">
        <f t="shared" si="0"/>
        <v>150</v>
      </c>
      <c r="G80" s="566">
        <f t="shared" si="1"/>
        <v>0</v>
      </c>
      <c r="H80" s="567">
        <f t="shared" si="2"/>
        <v>12.675000000000001</v>
      </c>
      <c r="I80" s="567">
        <f t="shared" si="3"/>
        <v>0</v>
      </c>
      <c r="J80" s="567">
        <f t="shared" si="4"/>
        <v>4.8</v>
      </c>
      <c r="K80" s="567">
        <f t="shared" si="5"/>
        <v>0</v>
      </c>
      <c r="L80" s="567">
        <f t="shared" si="6"/>
        <v>3.9450000000000003</v>
      </c>
      <c r="M80" s="567">
        <f t="shared" si="7"/>
        <v>0</v>
      </c>
      <c r="N80" s="567">
        <f t="shared" si="8"/>
        <v>3.2849999999999997</v>
      </c>
      <c r="O80" s="567">
        <f t="shared" si="9"/>
        <v>0</v>
      </c>
      <c r="P80" s="568"/>
    </row>
    <row r="81" spans="1:16" s="291" customFormat="1" ht="39" thickBot="1">
      <c r="A81" s="1172"/>
      <c r="B81" s="695"/>
      <c r="C81" s="297" t="s">
        <v>250</v>
      </c>
      <c r="D81" s="298" t="s">
        <v>3924</v>
      </c>
      <c r="E81" s="491">
        <v>3930.11</v>
      </c>
      <c r="F81" s="320">
        <f t="shared" si="0"/>
        <v>2358.0659999999998</v>
      </c>
      <c r="G81" s="566">
        <f t="shared" si="1"/>
        <v>0</v>
      </c>
      <c r="H81" s="567">
        <f t="shared" ref="H81:H100" si="10">F81*0.0845</f>
        <v>199.25657699999999</v>
      </c>
      <c r="I81" s="567">
        <f t="shared" si="3"/>
        <v>0</v>
      </c>
      <c r="J81" s="567">
        <f t="shared" ref="J81:J100" si="11">F81*0.032</f>
        <v>75.458112</v>
      </c>
      <c r="K81" s="567">
        <f t="shared" si="5"/>
        <v>0</v>
      </c>
      <c r="L81" s="567">
        <f t="shared" ref="L81:L100" si="12">F81*0.0263</f>
        <v>62.017135799999998</v>
      </c>
      <c r="M81" s="567">
        <f t="shared" si="7"/>
        <v>0</v>
      </c>
      <c r="N81" s="567">
        <f t="shared" ref="N81:N100" si="13">F81*0.0219</f>
        <v>51.641645399999994</v>
      </c>
      <c r="O81" s="567">
        <f t="shared" si="9"/>
        <v>0</v>
      </c>
      <c r="P81" s="568"/>
    </row>
    <row r="82" spans="1:16" s="291" customFormat="1" ht="26.25" thickBot="1">
      <c r="A82" s="1172"/>
      <c r="B82" s="695"/>
      <c r="C82" s="297" t="s">
        <v>251</v>
      </c>
      <c r="D82" s="298" t="s">
        <v>3868</v>
      </c>
      <c r="E82" s="491">
        <v>1959</v>
      </c>
      <c r="F82" s="320">
        <f t="shared" si="0"/>
        <v>1175.3999999999999</v>
      </c>
      <c r="G82" s="566">
        <f t="shared" si="1"/>
        <v>0</v>
      </c>
      <c r="H82" s="567">
        <f t="shared" si="10"/>
        <v>99.321299999999994</v>
      </c>
      <c r="I82" s="567">
        <f t="shared" si="3"/>
        <v>0</v>
      </c>
      <c r="J82" s="567">
        <f t="shared" si="11"/>
        <v>37.612799999999993</v>
      </c>
      <c r="K82" s="567">
        <f t="shared" si="5"/>
        <v>0</v>
      </c>
      <c r="L82" s="567">
        <f t="shared" si="12"/>
        <v>30.913019999999996</v>
      </c>
      <c r="M82" s="567">
        <f t="shared" si="7"/>
        <v>0</v>
      </c>
      <c r="N82" s="567">
        <f t="shared" si="13"/>
        <v>25.741259999999997</v>
      </c>
      <c r="O82" s="567">
        <f t="shared" si="9"/>
        <v>0</v>
      </c>
      <c r="P82" s="568"/>
    </row>
    <row r="83" spans="1:16" s="291" customFormat="1" ht="13.5" thickBot="1">
      <c r="A83" s="1172"/>
      <c r="B83" s="695"/>
      <c r="C83" s="565" t="s">
        <v>252</v>
      </c>
      <c r="D83" s="298" t="s">
        <v>3869</v>
      </c>
      <c r="E83" s="491">
        <v>996.17</v>
      </c>
      <c r="F83" s="320">
        <f t="shared" si="0"/>
        <v>597.702</v>
      </c>
      <c r="G83" s="566">
        <f t="shared" si="1"/>
        <v>0</v>
      </c>
      <c r="H83" s="567">
        <f t="shared" si="10"/>
        <v>50.505819000000002</v>
      </c>
      <c r="I83" s="567">
        <f t="shared" si="3"/>
        <v>0</v>
      </c>
      <c r="J83" s="567">
        <f t="shared" si="11"/>
        <v>19.126463999999999</v>
      </c>
      <c r="K83" s="567">
        <f t="shared" si="5"/>
        <v>0</v>
      </c>
      <c r="L83" s="567">
        <f t="shared" si="12"/>
        <v>15.7195626</v>
      </c>
      <c r="M83" s="567">
        <f t="shared" si="7"/>
        <v>0</v>
      </c>
      <c r="N83" s="567">
        <f t="shared" si="13"/>
        <v>13.0896738</v>
      </c>
      <c r="O83" s="567">
        <f t="shared" si="9"/>
        <v>0</v>
      </c>
      <c r="P83" s="568"/>
    </row>
    <row r="84" spans="1:16" s="291" customFormat="1" ht="13.5" thickBot="1">
      <c r="A84" s="1172"/>
      <c r="B84" s="695"/>
      <c r="C84" s="297" t="s">
        <v>218</v>
      </c>
      <c r="D84" s="298" t="s">
        <v>253</v>
      </c>
      <c r="E84" s="491">
        <v>70.62</v>
      </c>
      <c r="F84" s="320">
        <f t="shared" si="0"/>
        <v>42.372</v>
      </c>
      <c r="G84" s="396">
        <f t="shared" si="1"/>
        <v>0</v>
      </c>
      <c r="H84" s="567">
        <f t="shared" si="10"/>
        <v>3.5804340000000003</v>
      </c>
      <c r="I84" s="397">
        <f t="shared" si="3"/>
        <v>0</v>
      </c>
      <c r="J84" s="567">
        <f t="shared" si="11"/>
        <v>1.355904</v>
      </c>
      <c r="K84" s="397">
        <f t="shared" si="5"/>
        <v>0</v>
      </c>
      <c r="L84" s="567">
        <f t="shared" si="12"/>
        <v>1.1143836</v>
      </c>
      <c r="M84" s="397">
        <f t="shared" si="7"/>
        <v>0</v>
      </c>
      <c r="N84" s="567">
        <f t="shared" si="13"/>
        <v>0.92794679999999996</v>
      </c>
      <c r="O84" s="397">
        <f t="shared" si="9"/>
        <v>0</v>
      </c>
      <c r="P84" s="568"/>
    </row>
    <row r="85" spans="1:16" s="291" customFormat="1" ht="13.5" thickBot="1">
      <c r="A85" s="1172"/>
      <c r="B85" s="695"/>
      <c r="C85" s="297" t="s">
        <v>3870</v>
      </c>
      <c r="D85" s="298" t="s">
        <v>433</v>
      </c>
      <c r="E85" s="491">
        <v>131.61000000000001</v>
      </c>
      <c r="F85" s="320">
        <f t="shared" si="0"/>
        <v>78.966000000000008</v>
      </c>
      <c r="G85" s="566">
        <f t="shared" si="1"/>
        <v>0</v>
      </c>
      <c r="H85" s="567">
        <f t="shared" si="10"/>
        <v>6.6726270000000012</v>
      </c>
      <c r="I85" s="567">
        <f t="shared" si="3"/>
        <v>0</v>
      </c>
      <c r="J85" s="567">
        <f t="shared" si="11"/>
        <v>2.5269120000000003</v>
      </c>
      <c r="K85" s="567">
        <f t="shared" si="5"/>
        <v>0</v>
      </c>
      <c r="L85" s="567">
        <f t="shared" si="12"/>
        <v>2.0768058000000003</v>
      </c>
      <c r="M85" s="567">
        <f t="shared" si="7"/>
        <v>0</v>
      </c>
      <c r="N85" s="567">
        <f t="shared" si="13"/>
        <v>1.7293554000000002</v>
      </c>
      <c r="O85" s="567">
        <f t="shared" si="9"/>
        <v>0</v>
      </c>
      <c r="P85" s="568"/>
    </row>
    <row r="86" spans="1:16" s="291" customFormat="1" ht="13.5" thickBot="1">
      <c r="A86" s="1172"/>
      <c r="B86" s="695"/>
      <c r="C86" s="297" t="s">
        <v>3871</v>
      </c>
      <c r="D86" s="298" t="s">
        <v>385</v>
      </c>
      <c r="E86" s="491">
        <v>1075.3499999999999</v>
      </c>
      <c r="F86" s="320">
        <f t="shared" si="0"/>
        <v>645.20999999999992</v>
      </c>
      <c r="G86" s="566">
        <f t="shared" si="1"/>
        <v>0</v>
      </c>
      <c r="H86" s="567">
        <f t="shared" si="10"/>
        <v>54.520244999999996</v>
      </c>
      <c r="I86" s="567">
        <f t="shared" si="3"/>
        <v>0</v>
      </c>
      <c r="J86" s="567">
        <f t="shared" si="11"/>
        <v>20.646719999999998</v>
      </c>
      <c r="K86" s="567">
        <f t="shared" si="5"/>
        <v>0</v>
      </c>
      <c r="L86" s="567">
        <f t="shared" si="12"/>
        <v>16.969023</v>
      </c>
      <c r="M86" s="567">
        <f t="shared" si="7"/>
        <v>0</v>
      </c>
      <c r="N86" s="567">
        <f t="shared" si="13"/>
        <v>14.130098999999998</v>
      </c>
      <c r="O86" s="567">
        <f t="shared" si="9"/>
        <v>0</v>
      </c>
      <c r="P86" s="568"/>
    </row>
    <row r="87" spans="1:16" s="291" customFormat="1" ht="13.5" thickBot="1">
      <c r="A87" s="1172"/>
      <c r="B87" s="695"/>
      <c r="C87" s="565" t="s">
        <v>3872</v>
      </c>
      <c r="D87" s="658" t="s">
        <v>386</v>
      </c>
      <c r="E87" s="491">
        <v>1402.77</v>
      </c>
      <c r="F87" s="320">
        <f t="shared" si="0"/>
        <v>841.66199999999992</v>
      </c>
      <c r="G87" s="566">
        <f t="shared" si="1"/>
        <v>0</v>
      </c>
      <c r="H87" s="567">
        <f t="shared" si="10"/>
        <v>71.120439000000005</v>
      </c>
      <c r="I87" s="567">
        <f t="shared" si="3"/>
        <v>0</v>
      </c>
      <c r="J87" s="567">
        <f t="shared" si="11"/>
        <v>26.933183999999997</v>
      </c>
      <c r="K87" s="567">
        <f t="shared" si="5"/>
        <v>0</v>
      </c>
      <c r="L87" s="567">
        <f t="shared" si="12"/>
        <v>22.135710599999999</v>
      </c>
      <c r="M87" s="567">
        <f t="shared" si="7"/>
        <v>0</v>
      </c>
      <c r="N87" s="567">
        <f t="shared" si="13"/>
        <v>18.432397799999997</v>
      </c>
      <c r="O87" s="567">
        <f t="shared" si="9"/>
        <v>0</v>
      </c>
      <c r="P87" s="568"/>
    </row>
    <row r="88" spans="1:16" s="291" customFormat="1" ht="13.5" thickBot="1">
      <c r="A88" s="1172"/>
      <c r="B88" s="695"/>
      <c r="C88" s="565" t="s">
        <v>3873</v>
      </c>
      <c r="D88" s="298" t="s">
        <v>387</v>
      </c>
      <c r="E88" s="491">
        <v>1651.01</v>
      </c>
      <c r="F88" s="320">
        <f t="shared" si="0"/>
        <v>990.60599999999999</v>
      </c>
      <c r="G88" s="566">
        <f t="shared" si="1"/>
        <v>0</v>
      </c>
      <c r="H88" s="567">
        <f t="shared" si="10"/>
        <v>83.706207000000006</v>
      </c>
      <c r="I88" s="567">
        <f t="shared" si="3"/>
        <v>0</v>
      </c>
      <c r="J88" s="567">
        <f t="shared" si="11"/>
        <v>31.699392</v>
      </c>
      <c r="K88" s="567">
        <f t="shared" si="5"/>
        <v>0</v>
      </c>
      <c r="L88" s="567">
        <f t="shared" si="12"/>
        <v>26.052937799999999</v>
      </c>
      <c r="M88" s="567">
        <f t="shared" si="7"/>
        <v>0</v>
      </c>
      <c r="N88" s="567">
        <f t="shared" si="13"/>
        <v>21.694271399999998</v>
      </c>
      <c r="O88" s="567">
        <f t="shared" si="9"/>
        <v>0</v>
      </c>
      <c r="P88" s="568"/>
    </row>
    <row r="89" spans="1:16" s="291" customFormat="1" ht="13.5" thickBot="1">
      <c r="A89" s="1172"/>
      <c r="B89" s="695"/>
      <c r="C89" s="565" t="s">
        <v>254</v>
      </c>
      <c r="D89" s="298" t="s">
        <v>255</v>
      </c>
      <c r="E89" s="491">
        <v>1964.52</v>
      </c>
      <c r="F89" s="320">
        <f t="shared" si="0"/>
        <v>1178.712</v>
      </c>
      <c r="G89" s="566">
        <f t="shared" si="1"/>
        <v>0</v>
      </c>
      <c r="H89" s="567">
        <f t="shared" si="10"/>
        <v>99.601164000000011</v>
      </c>
      <c r="I89" s="567">
        <f t="shared" si="3"/>
        <v>0</v>
      </c>
      <c r="J89" s="567">
        <f t="shared" si="11"/>
        <v>37.718783999999999</v>
      </c>
      <c r="K89" s="567">
        <f t="shared" si="5"/>
        <v>0</v>
      </c>
      <c r="L89" s="567">
        <f t="shared" si="12"/>
        <v>31.000125600000001</v>
      </c>
      <c r="M89" s="567">
        <f t="shared" si="7"/>
        <v>0</v>
      </c>
      <c r="N89" s="567">
        <f t="shared" si="13"/>
        <v>25.813792799999998</v>
      </c>
      <c r="O89" s="567">
        <f t="shared" si="9"/>
        <v>0</v>
      </c>
      <c r="P89" s="568"/>
    </row>
    <row r="90" spans="1:16" s="291" customFormat="1" ht="13.5" thickBot="1">
      <c r="A90" s="1172"/>
      <c r="B90" s="695"/>
      <c r="C90" s="651" t="s">
        <v>528</v>
      </c>
      <c r="D90" s="298" t="s">
        <v>3912</v>
      </c>
      <c r="E90" s="491">
        <v>1306.47</v>
      </c>
      <c r="F90" s="320">
        <f t="shared" si="0"/>
        <v>783.88199999999995</v>
      </c>
      <c r="G90" s="566">
        <f t="shared" si="1"/>
        <v>0</v>
      </c>
      <c r="H90" s="567">
        <f t="shared" si="10"/>
        <v>66.238028999999997</v>
      </c>
      <c r="I90" s="567">
        <f t="shared" si="3"/>
        <v>0</v>
      </c>
      <c r="J90" s="567">
        <f t="shared" si="11"/>
        <v>25.084223999999999</v>
      </c>
      <c r="K90" s="567">
        <f t="shared" si="5"/>
        <v>0</v>
      </c>
      <c r="L90" s="567">
        <f t="shared" si="12"/>
        <v>20.616096599999999</v>
      </c>
      <c r="M90" s="567">
        <f t="shared" si="7"/>
        <v>0</v>
      </c>
      <c r="N90" s="567">
        <f t="shared" si="13"/>
        <v>17.167015799999998</v>
      </c>
      <c r="O90" s="567">
        <f t="shared" si="9"/>
        <v>0</v>
      </c>
      <c r="P90" s="568"/>
    </row>
    <row r="91" spans="1:16" s="291" customFormat="1" ht="13.5" thickBot="1">
      <c r="A91" s="1172"/>
      <c r="B91" s="695"/>
      <c r="C91" s="651" t="s">
        <v>256</v>
      </c>
      <c r="D91" s="298" t="s">
        <v>3875</v>
      </c>
      <c r="E91" s="491">
        <v>690.15</v>
      </c>
      <c r="F91" s="320">
        <f t="shared" si="0"/>
        <v>414.09</v>
      </c>
      <c r="G91" s="566">
        <f t="shared" si="1"/>
        <v>0</v>
      </c>
      <c r="H91" s="567">
        <f t="shared" si="10"/>
        <v>34.990605000000002</v>
      </c>
      <c r="I91" s="567">
        <f t="shared" si="3"/>
        <v>0</v>
      </c>
      <c r="J91" s="567">
        <f t="shared" si="11"/>
        <v>13.250879999999999</v>
      </c>
      <c r="K91" s="567">
        <f t="shared" si="5"/>
        <v>0</v>
      </c>
      <c r="L91" s="567">
        <f t="shared" si="12"/>
        <v>10.890566999999999</v>
      </c>
      <c r="M91" s="567">
        <f t="shared" si="7"/>
        <v>0</v>
      </c>
      <c r="N91" s="567">
        <f t="shared" si="13"/>
        <v>9.0685709999999986</v>
      </c>
      <c r="O91" s="567">
        <f t="shared" si="9"/>
        <v>0</v>
      </c>
      <c r="P91" s="568"/>
    </row>
    <row r="92" spans="1:16" s="291" customFormat="1" ht="13.5" thickBot="1">
      <c r="A92" s="1172"/>
      <c r="B92" s="695"/>
      <c r="C92" s="651" t="s">
        <v>368</v>
      </c>
      <c r="D92" s="298" t="s">
        <v>434</v>
      </c>
      <c r="E92" s="491">
        <v>1000.45</v>
      </c>
      <c r="F92" s="320">
        <f t="shared" si="0"/>
        <v>600.27</v>
      </c>
      <c r="G92" s="566">
        <f t="shared" si="1"/>
        <v>0</v>
      </c>
      <c r="H92" s="567">
        <f t="shared" si="10"/>
        <v>50.722815000000004</v>
      </c>
      <c r="I92" s="567">
        <f t="shared" si="3"/>
        <v>0</v>
      </c>
      <c r="J92" s="567">
        <f t="shared" si="11"/>
        <v>19.208639999999999</v>
      </c>
      <c r="K92" s="567">
        <f t="shared" si="5"/>
        <v>0</v>
      </c>
      <c r="L92" s="567">
        <f t="shared" si="12"/>
        <v>15.787101</v>
      </c>
      <c r="M92" s="567">
        <f t="shared" si="7"/>
        <v>0</v>
      </c>
      <c r="N92" s="567">
        <f t="shared" si="13"/>
        <v>13.145912999999998</v>
      </c>
      <c r="O92" s="567">
        <f t="shared" si="9"/>
        <v>0</v>
      </c>
      <c r="P92" s="568"/>
    </row>
    <row r="93" spans="1:16" s="291" customFormat="1" ht="13.5" thickBot="1">
      <c r="A93" s="1172"/>
      <c r="B93" s="695"/>
      <c r="C93" s="297" t="s">
        <v>3876</v>
      </c>
      <c r="D93" s="298" t="s">
        <v>3925</v>
      </c>
      <c r="E93" s="491">
        <v>690.15</v>
      </c>
      <c r="F93" s="320">
        <f t="shared" si="0"/>
        <v>414.09</v>
      </c>
      <c r="G93" s="566">
        <f t="shared" si="1"/>
        <v>0</v>
      </c>
      <c r="H93" s="567">
        <f t="shared" si="10"/>
        <v>34.990605000000002</v>
      </c>
      <c r="I93" s="567">
        <f t="shared" si="3"/>
        <v>0</v>
      </c>
      <c r="J93" s="567">
        <f t="shared" si="11"/>
        <v>13.250879999999999</v>
      </c>
      <c r="K93" s="567">
        <f t="shared" si="5"/>
        <v>0</v>
      </c>
      <c r="L93" s="567">
        <f t="shared" si="12"/>
        <v>10.890566999999999</v>
      </c>
      <c r="M93" s="567">
        <f t="shared" si="7"/>
        <v>0</v>
      </c>
      <c r="N93" s="567">
        <f t="shared" si="13"/>
        <v>9.0685709999999986</v>
      </c>
      <c r="O93" s="567">
        <f t="shared" si="9"/>
        <v>0</v>
      </c>
      <c r="P93" s="568"/>
    </row>
    <row r="94" spans="1:16" s="291" customFormat="1" ht="13.5" thickBot="1">
      <c r="A94" s="1172"/>
      <c r="B94" s="695"/>
      <c r="C94" s="297" t="s">
        <v>257</v>
      </c>
      <c r="D94" s="298" t="s">
        <v>435</v>
      </c>
      <c r="E94" s="491">
        <v>1348</v>
      </c>
      <c r="F94" s="320">
        <f t="shared" si="0"/>
        <v>808.8</v>
      </c>
      <c r="G94" s="566">
        <f t="shared" si="1"/>
        <v>0</v>
      </c>
      <c r="H94" s="567">
        <f t="shared" si="10"/>
        <v>68.343599999999995</v>
      </c>
      <c r="I94" s="567">
        <f t="shared" si="3"/>
        <v>0</v>
      </c>
      <c r="J94" s="567">
        <f t="shared" si="11"/>
        <v>25.881599999999999</v>
      </c>
      <c r="K94" s="567">
        <f t="shared" si="5"/>
        <v>0</v>
      </c>
      <c r="L94" s="567">
        <f t="shared" si="12"/>
        <v>21.271439999999998</v>
      </c>
      <c r="M94" s="567">
        <f t="shared" si="7"/>
        <v>0</v>
      </c>
      <c r="N94" s="567">
        <f t="shared" si="13"/>
        <v>17.712719999999997</v>
      </c>
      <c r="O94" s="567">
        <f t="shared" si="9"/>
        <v>0</v>
      </c>
      <c r="P94" s="568"/>
    </row>
    <row r="95" spans="1:16" s="291" customFormat="1" ht="13.5" thickBot="1">
      <c r="A95" s="1172"/>
      <c r="B95" s="695"/>
      <c r="C95" s="297" t="s">
        <v>258</v>
      </c>
      <c r="D95" s="298" t="s">
        <v>223</v>
      </c>
      <c r="E95" s="491">
        <v>56.71</v>
      </c>
      <c r="F95" s="38">
        <f t="shared" si="0"/>
        <v>34.025999999999996</v>
      </c>
      <c r="G95" s="396">
        <f t="shared" si="1"/>
        <v>0</v>
      </c>
      <c r="H95" s="397">
        <f t="shared" si="10"/>
        <v>2.875197</v>
      </c>
      <c r="I95" s="397">
        <f t="shared" si="3"/>
        <v>0</v>
      </c>
      <c r="J95" s="397">
        <f t="shared" si="11"/>
        <v>1.0888319999999998</v>
      </c>
      <c r="K95" s="397">
        <f t="shared" si="5"/>
        <v>0</v>
      </c>
      <c r="L95" s="397">
        <f t="shared" si="12"/>
        <v>0.8948837999999999</v>
      </c>
      <c r="M95" s="397">
        <f t="shared" si="7"/>
        <v>0</v>
      </c>
      <c r="N95" s="397">
        <f t="shared" si="13"/>
        <v>0.74516939999999987</v>
      </c>
      <c r="O95" s="397">
        <f t="shared" si="9"/>
        <v>0</v>
      </c>
      <c r="P95" s="568"/>
    </row>
    <row r="96" spans="1:16" s="291" customFormat="1" ht="13.5" thickBot="1">
      <c r="A96" s="1172"/>
      <c r="B96" s="695"/>
      <c r="C96" s="297" t="s">
        <v>259</v>
      </c>
      <c r="D96" s="298" t="s">
        <v>436</v>
      </c>
      <c r="E96" s="491">
        <v>32.1</v>
      </c>
      <c r="F96" s="38">
        <f t="shared" si="0"/>
        <v>19.260000000000002</v>
      </c>
      <c r="G96" s="396">
        <f t="shared" si="1"/>
        <v>0</v>
      </c>
      <c r="H96" s="397">
        <f t="shared" si="10"/>
        <v>1.6274700000000002</v>
      </c>
      <c r="I96" s="397">
        <f t="shared" si="3"/>
        <v>0</v>
      </c>
      <c r="J96" s="397">
        <f t="shared" si="11"/>
        <v>0.61632000000000009</v>
      </c>
      <c r="K96" s="397">
        <f t="shared" si="5"/>
        <v>0</v>
      </c>
      <c r="L96" s="397">
        <f t="shared" si="12"/>
        <v>0.50653800000000004</v>
      </c>
      <c r="M96" s="397">
        <f t="shared" si="7"/>
        <v>0</v>
      </c>
      <c r="N96" s="397">
        <f t="shared" si="13"/>
        <v>0.421794</v>
      </c>
      <c r="O96" s="397">
        <f t="shared" si="9"/>
        <v>0</v>
      </c>
      <c r="P96" s="568"/>
    </row>
    <row r="97" spans="1:16" s="291" customFormat="1" ht="13.5" thickBot="1">
      <c r="A97" s="1172"/>
      <c r="B97" s="695"/>
      <c r="C97" s="297" t="s">
        <v>527</v>
      </c>
      <c r="D97" s="298" t="s">
        <v>224</v>
      </c>
      <c r="E97" s="491">
        <v>35.31</v>
      </c>
      <c r="F97" s="320">
        <f t="shared" si="0"/>
        <v>21.186</v>
      </c>
      <c r="G97" s="566">
        <f t="shared" si="1"/>
        <v>0</v>
      </c>
      <c r="H97" s="567">
        <f t="shared" si="10"/>
        <v>1.7902170000000002</v>
      </c>
      <c r="I97" s="567">
        <f t="shared" si="3"/>
        <v>0</v>
      </c>
      <c r="J97" s="567">
        <f t="shared" si="11"/>
        <v>0.677952</v>
      </c>
      <c r="K97" s="567">
        <f t="shared" si="5"/>
        <v>0</v>
      </c>
      <c r="L97" s="567">
        <f t="shared" si="12"/>
        <v>0.55719180000000001</v>
      </c>
      <c r="M97" s="567">
        <f t="shared" si="7"/>
        <v>0</v>
      </c>
      <c r="N97" s="567">
        <f t="shared" si="13"/>
        <v>0.46397339999999998</v>
      </c>
      <c r="O97" s="567">
        <f t="shared" si="9"/>
        <v>0</v>
      </c>
      <c r="P97" s="568"/>
    </row>
    <row r="98" spans="1:16" s="291" customFormat="1" ht="13.5" thickBot="1">
      <c r="A98" s="1172"/>
      <c r="B98" s="695"/>
      <c r="C98" s="565" t="s">
        <v>530</v>
      </c>
      <c r="D98" s="658" t="s">
        <v>3926</v>
      </c>
      <c r="E98" s="491">
        <v>306.02</v>
      </c>
      <c r="F98" s="320">
        <f t="shared" si="0"/>
        <v>183.61199999999999</v>
      </c>
      <c r="G98" s="566">
        <f t="shared" si="1"/>
        <v>0</v>
      </c>
      <c r="H98" s="567">
        <f t="shared" si="10"/>
        <v>15.515214</v>
      </c>
      <c r="I98" s="567">
        <f t="shared" si="3"/>
        <v>0</v>
      </c>
      <c r="J98" s="567">
        <f t="shared" si="11"/>
        <v>5.8755839999999999</v>
      </c>
      <c r="K98" s="567">
        <f t="shared" si="5"/>
        <v>0</v>
      </c>
      <c r="L98" s="567">
        <f t="shared" si="12"/>
        <v>4.8289955999999998</v>
      </c>
      <c r="M98" s="567">
        <f t="shared" si="7"/>
        <v>0</v>
      </c>
      <c r="N98" s="567">
        <f t="shared" si="13"/>
        <v>4.0211027999999995</v>
      </c>
      <c r="O98" s="567">
        <f t="shared" si="9"/>
        <v>0</v>
      </c>
      <c r="P98" s="568"/>
    </row>
    <row r="99" spans="1:16" s="291" customFormat="1" ht="13.5" thickBot="1">
      <c r="A99" s="1172"/>
      <c r="B99" s="695"/>
      <c r="C99" s="651" t="s">
        <v>3880</v>
      </c>
      <c r="D99" s="298" t="s">
        <v>225</v>
      </c>
      <c r="E99" s="491">
        <v>132.68</v>
      </c>
      <c r="F99" s="320">
        <f t="shared" si="0"/>
        <v>79.608000000000004</v>
      </c>
      <c r="G99" s="566">
        <f t="shared" si="1"/>
        <v>0</v>
      </c>
      <c r="H99" s="567">
        <f t="shared" si="10"/>
        <v>6.7268760000000007</v>
      </c>
      <c r="I99" s="567">
        <f t="shared" si="3"/>
        <v>0</v>
      </c>
      <c r="J99" s="567">
        <f t="shared" si="11"/>
        <v>2.5474560000000004</v>
      </c>
      <c r="K99" s="567">
        <f t="shared" si="5"/>
        <v>0</v>
      </c>
      <c r="L99" s="567">
        <f t="shared" si="12"/>
        <v>2.0936904000000003</v>
      </c>
      <c r="M99" s="567">
        <f t="shared" si="7"/>
        <v>0</v>
      </c>
      <c r="N99" s="567">
        <f t="shared" si="13"/>
        <v>1.7434152000000001</v>
      </c>
      <c r="O99" s="567">
        <f t="shared" si="9"/>
        <v>0</v>
      </c>
      <c r="P99" s="568"/>
    </row>
    <row r="100" spans="1:16" s="315" customFormat="1" ht="13.5" thickBot="1">
      <c r="A100" s="1173"/>
      <c r="B100" s="695"/>
      <c r="C100" s="297" t="s">
        <v>369</v>
      </c>
      <c r="D100" s="298" t="s">
        <v>3913</v>
      </c>
      <c r="E100" s="491">
        <v>5896.77</v>
      </c>
      <c r="F100" s="320">
        <f t="shared" si="0"/>
        <v>3538.0620000000004</v>
      </c>
      <c r="G100" s="566">
        <f t="shared" si="1"/>
        <v>0</v>
      </c>
      <c r="H100" s="567">
        <f t="shared" si="10"/>
        <v>298.96623900000003</v>
      </c>
      <c r="I100" s="567">
        <f t="shared" si="3"/>
        <v>0</v>
      </c>
      <c r="J100" s="567">
        <f t="shared" si="11"/>
        <v>113.21798400000002</v>
      </c>
      <c r="K100" s="567">
        <f t="shared" si="5"/>
        <v>0</v>
      </c>
      <c r="L100" s="567">
        <f t="shared" si="12"/>
        <v>93.051030600000004</v>
      </c>
      <c r="M100" s="567">
        <f t="shared" si="7"/>
        <v>0</v>
      </c>
      <c r="N100" s="567">
        <f t="shared" si="13"/>
        <v>77.4835578</v>
      </c>
      <c r="O100" s="567">
        <f t="shared" si="9"/>
        <v>0</v>
      </c>
      <c r="P100" s="568"/>
    </row>
    <row r="101" spans="1:16" s="315" customFormat="1" ht="15">
      <c r="C101" s="697"/>
      <c r="D101" s="1008" t="s">
        <v>65</v>
      </c>
      <c r="E101" s="1088"/>
      <c r="F101" s="1009"/>
      <c r="G101" s="328">
        <f t="array" ref="G101">SUM(G51:G100)+G39:G51:G100+G43:G51:G100+G47</f>
        <v>0</v>
      </c>
      <c r="H101" s="329" t="s">
        <v>66</v>
      </c>
      <c r="I101" s="328">
        <f t="array" ref="I101">SUM(I51:I100)+I39:I51:I100+I43:I51:I100+I47</f>
        <v>0</v>
      </c>
      <c r="J101" s="329" t="s">
        <v>67</v>
      </c>
      <c r="K101" s="328">
        <f t="array" ref="K101">SUM(K51:K100)+K39:K51:K100+K43:K51:K100+K47</f>
        <v>0</v>
      </c>
      <c r="L101" s="329" t="s">
        <v>68</v>
      </c>
      <c r="M101" s="328">
        <f t="array" ref="M101">SUM(M51:M100)+M39:M51:M100+M43:M51:M100+M47</f>
        <v>0</v>
      </c>
      <c r="N101" s="329" t="s">
        <v>69</v>
      </c>
      <c r="O101" s="328">
        <f t="array" ref="O101">SUM(O51:O100)+O39:O51:O100+O43:O51:O100+O47</f>
        <v>0</v>
      </c>
    </row>
    <row r="102" spans="1:16" s="315" customFormat="1" ht="14.25">
      <c r="C102" s="698"/>
      <c r="F102" s="456"/>
    </row>
    <row r="116" spans="3:3">
      <c r="C116" s="699"/>
    </row>
  </sheetData>
  <mergeCells count="55">
    <mergeCell ref="A27:D27"/>
    <mergeCell ref="E27:J27"/>
    <mergeCell ref="K27:O27"/>
    <mergeCell ref="A4:O4"/>
    <mergeCell ref="A5:O5"/>
    <mergeCell ref="H8:J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M43:M45"/>
    <mergeCell ref="I33:K35"/>
    <mergeCell ref="F37:G37"/>
    <mergeCell ref="H37:O37"/>
    <mergeCell ref="A39:A41"/>
    <mergeCell ref="B39:B41"/>
    <mergeCell ref="G39:G41"/>
    <mergeCell ref="I39:I41"/>
    <mergeCell ref="K39:K41"/>
    <mergeCell ref="M39:M41"/>
    <mergeCell ref="O39:O41"/>
    <mergeCell ref="A50:O50"/>
    <mergeCell ref="A51:A100"/>
    <mergeCell ref="D101:F101"/>
    <mergeCell ref="O43:O45"/>
    <mergeCell ref="A47:A49"/>
    <mergeCell ref="B47:B49"/>
    <mergeCell ref="G47:G49"/>
    <mergeCell ref="I47:I49"/>
    <mergeCell ref="K47:K49"/>
    <mergeCell ref="M47:M49"/>
    <mergeCell ref="O47:O49"/>
    <mergeCell ref="A43:A45"/>
    <mergeCell ref="B43:B45"/>
    <mergeCell ref="G43:G45"/>
    <mergeCell ref="I43:I45"/>
    <mergeCell ref="K43:K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indexed="62"/>
  </sheetPr>
  <dimension ref="A1:O118"/>
  <sheetViews>
    <sheetView topLeftCell="A24" zoomScaleNormal="100" workbookViewId="0">
      <selection activeCell="E39" sqref="E39:F39"/>
    </sheetView>
  </sheetViews>
  <sheetFormatPr defaultColWidth="8.85546875" defaultRowHeight="12.75"/>
  <cols>
    <col min="1" max="1" width="14.42578125" style="73" customWidth="1"/>
    <col min="2" max="2" width="9.42578125" style="73" customWidth="1"/>
    <col min="3" max="3" width="19.42578125" style="239" customWidth="1"/>
    <col min="4" max="4" width="37.42578125" style="73" customWidth="1"/>
    <col min="5" max="5" width="17.42578125" style="73" customWidth="1"/>
    <col min="6" max="6" width="19" style="130" customWidth="1"/>
    <col min="7" max="7" width="15.42578125" style="73" customWidth="1"/>
    <col min="8" max="8" width="28.28515625" style="73" bestFit="1" customWidth="1"/>
    <col min="9" max="9" width="20.140625" style="73" customWidth="1"/>
    <col min="10" max="10" width="25" style="73" bestFit="1" customWidth="1"/>
    <col min="11" max="11" width="19" style="73" customWidth="1"/>
    <col min="12" max="12" width="25" style="73" bestFit="1" customWidth="1"/>
    <col min="13" max="13" width="17" style="73" customWidth="1"/>
    <col min="14" max="14" width="25" style="73" bestFit="1" customWidth="1"/>
    <col min="15" max="15" width="18.85546875" style="73" customWidth="1"/>
    <col min="16" max="16384" width="8.85546875" style="73"/>
  </cols>
  <sheetData>
    <row r="1" spans="1:15" ht="13.5" thickBot="1">
      <c r="B1" s="76"/>
      <c r="C1" s="213"/>
      <c r="D1" s="75"/>
      <c r="E1" s="75"/>
      <c r="F1" s="76"/>
      <c r="G1" s="76"/>
      <c r="H1" s="76"/>
      <c r="I1" s="76"/>
      <c r="J1" s="76"/>
      <c r="K1" s="75"/>
      <c r="L1" s="76"/>
    </row>
    <row r="2" spans="1:15" ht="9" customHeight="1">
      <c r="A2" s="77"/>
      <c r="B2" s="81"/>
      <c r="C2" s="214"/>
      <c r="D2" s="79"/>
      <c r="E2" s="79"/>
      <c r="F2" s="80"/>
      <c r="G2" s="81"/>
      <c r="H2" s="80"/>
      <c r="I2" s="81"/>
      <c r="J2" s="81"/>
      <c r="K2" s="81"/>
      <c r="L2" s="81"/>
      <c r="M2" s="77"/>
      <c r="N2" s="77"/>
      <c r="O2" s="77"/>
    </row>
    <row r="3" spans="1:15" ht="10.5" customHeight="1">
      <c r="B3" s="82"/>
      <c r="C3" s="213"/>
      <c r="D3" s="75"/>
      <c r="E3" s="75"/>
      <c r="F3" s="76"/>
      <c r="G3" s="82"/>
      <c r="H3" s="76"/>
      <c r="I3" s="82"/>
      <c r="J3" s="82"/>
      <c r="K3" s="82"/>
      <c r="L3" s="82"/>
    </row>
    <row r="4" spans="1:15" ht="36" customHeight="1">
      <c r="A4" s="995" t="s">
        <v>484</v>
      </c>
      <c r="B4" s="964"/>
      <c r="C4" s="964"/>
      <c r="D4" s="964"/>
      <c r="E4" s="964"/>
      <c r="F4" s="964"/>
      <c r="G4" s="964"/>
      <c r="H4" s="964"/>
      <c r="I4" s="964"/>
      <c r="J4" s="964"/>
      <c r="K4" s="964"/>
      <c r="L4" s="964"/>
      <c r="M4" s="964"/>
      <c r="N4" s="964"/>
      <c r="O4" s="964"/>
    </row>
    <row r="5" spans="1:15" s="83" customFormat="1" ht="41.25" customHeight="1">
      <c r="A5" s="996" t="s">
        <v>485</v>
      </c>
      <c r="B5" s="997"/>
      <c r="C5" s="997"/>
      <c r="D5" s="997"/>
      <c r="E5" s="997"/>
      <c r="F5" s="997"/>
      <c r="G5" s="997"/>
      <c r="H5" s="997"/>
      <c r="I5" s="997"/>
      <c r="J5" s="997"/>
      <c r="K5" s="997"/>
      <c r="L5" s="997"/>
      <c r="M5" s="997"/>
      <c r="N5" s="997"/>
      <c r="O5" s="997"/>
    </row>
    <row r="6" spans="1:15" ht="12" customHeight="1" thickBot="1">
      <c r="A6" s="84"/>
      <c r="B6" s="84"/>
      <c r="C6" s="84"/>
      <c r="D6" s="84"/>
      <c r="E6" s="84"/>
      <c r="F6" s="84"/>
      <c r="G6" s="84"/>
      <c r="H6" s="84"/>
      <c r="I6" s="84"/>
      <c r="J6" s="84"/>
      <c r="K6" s="84"/>
      <c r="L6" s="84"/>
      <c r="M6" s="84"/>
      <c r="N6" s="84"/>
      <c r="O6" s="84"/>
    </row>
    <row r="8" spans="1:15" s="82" customFormat="1" ht="14.25">
      <c r="C8" s="93"/>
      <c r="F8" s="184"/>
      <c r="G8" s="184"/>
      <c r="H8" s="994" t="s">
        <v>0</v>
      </c>
      <c r="I8" s="994"/>
      <c r="J8" s="994"/>
      <c r="K8" s="136"/>
    </row>
    <row r="9" spans="1:15" s="82" customFormat="1" ht="14.25">
      <c r="C9" s="93"/>
      <c r="H9" s="91" t="s">
        <v>1</v>
      </c>
      <c r="I9" s="157" t="s">
        <v>179</v>
      </c>
    </row>
    <row r="10" spans="1:15" s="82" customFormat="1">
      <c r="B10" s="93"/>
      <c r="C10" s="93"/>
      <c r="G10" s="93"/>
      <c r="H10" s="92" t="s">
        <v>3</v>
      </c>
      <c r="I10" s="185" t="s">
        <v>228</v>
      </c>
      <c r="J10" s="93"/>
      <c r="K10" s="100"/>
      <c r="L10" s="93"/>
    </row>
    <row r="11" spans="1:15" s="82" customFormat="1" ht="12.75" customHeight="1">
      <c r="B11" s="96"/>
      <c r="C11" s="93"/>
      <c r="F11" s="184"/>
      <c r="G11" s="96"/>
      <c r="H11" s="95" t="s">
        <v>7</v>
      </c>
      <c r="I11" s="370">
        <v>300000</v>
      </c>
      <c r="J11" s="96"/>
      <c r="L11" s="96"/>
    </row>
    <row r="12" spans="1:15" s="82" customFormat="1">
      <c r="B12" s="93"/>
      <c r="C12" s="93"/>
      <c r="F12" s="184"/>
      <c r="G12" s="93"/>
      <c r="H12" s="92" t="s">
        <v>8</v>
      </c>
      <c r="I12" s="371" t="s">
        <v>486</v>
      </c>
      <c r="J12" s="93"/>
      <c r="L12" s="93"/>
    </row>
    <row r="13" spans="1:15" s="82" customFormat="1">
      <c r="C13" s="215"/>
      <c r="F13" s="184"/>
      <c r="H13" s="92" t="s">
        <v>10</v>
      </c>
      <c r="I13" s="157" t="s">
        <v>182</v>
      </c>
    </row>
    <row r="14" spans="1:15" s="82" customFormat="1">
      <c r="C14" s="93"/>
      <c r="F14" s="184"/>
      <c r="H14" s="92" t="s">
        <v>183</v>
      </c>
      <c r="I14" s="157" t="s">
        <v>487</v>
      </c>
    </row>
    <row r="15" spans="1:15" s="82" customFormat="1">
      <c r="C15" s="93"/>
      <c r="F15" s="187"/>
      <c r="H15" s="92" t="s">
        <v>185</v>
      </c>
      <c r="I15" s="157" t="s">
        <v>475</v>
      </c>
    </row>
    <row r="16" spans="1:15" s="82" customFormat="1">
      <c r="C16" s="93"/>
      <c r="F16" s="184"/>
      <c r="H16" s="92" t="s">
        <v>14</v>
      </c>
      <c r="I16" s="157" t="s">
        <v>15</v>
      </c>
    </row>
    <row r="17" spans="1:15" s="82" customFormat="1">
      <c r="C17" s="93"/>
      <c r="F17" s="184"/>
      <c r="H17" s="92"/>
      <c r="I17" s="157" t="s">
        <v>187</v>
      </c>
    </row>
    <row r="18" spans="1:15" s="82" customFormat="1">
      <c r="C18" s="93"/>
      <c r="H18" s="92"/>
      <c r="I18" s="157" t="s">
        <v>188</v>
      </c>
    </row>
    <row r="19" spans="1:15" s="82" customFormat="1">
      <c r="C19" s="93"/>
      <c r="F19" s="184"/>
      <c r="H19" s="92" t="s">
        <v>16</v>
      </c>
      <c r="I19" s="157" t="s">
        <v>232</v>
      </c>
    </row>
    <row r="20" spans="1:15" s="82" customFormat="1">
      <c r="C20" s="93"/>
      <c r="F20" s="184"/>
      <c r="H20" s="92" t="s">
        <v>18</v>
      </c>
      <c r="I20" s="157" t="s">
        <v>190</v>
      </c>
    </row>
    <row r="21" spans="1:15" s="82" customFormat="1">
      <c r="B21" s="93"/>
      <c r="C21" s="93"/>
      <c r="F21" s="184"/>
      <c r="G21" s="93"/>
      <c r="H21" s="92" t="s">
        <v>20</v>
      </c>
      <c r="I21" s="185" t="s">
        <v>233</v>
      </c>
      <c r="J21" s="93"/>
      <c r="L21" s="93"/>
    </row>
    <row r="22" spans="1:15" s="82" customFormat="1" ht="12" customHeight="1">
      <c r="C22" s="93"/>
      <c r="F22" s="184"/>
      <c r="H22" s="92" t="s">
        <v>22</v>
      </c>
      <c r="I22" s="157" t="s">
        <v>234</v>
      </c>
    </row>
    <row r="23" spans="1:15" s="82" customFormat="1" ht="15.75" customHeight="1">
      <c r="C23" s="93"/>
      <c r="D23" s="1082"/>
      <c r="E23" s="105"/>
      <c r="F23" s="104"/>
      <c r="H23" s="92" t="s">
        <v>24</v>
      </c>
      <c r="I23" s="157" t="s">
        <v>488</v>
      </c>
      <c r="K23" s="216"/>
    </row>
    <row r="24" spans="1:15" s="82" customFormat="1" ht="12.75" customHeight="1">
      <c r="C24" s="93"/>
      <c r="D24" s="1082"/>
      <c r="E24" s="105"/>
      <c r="F24" s="104"/>
      <c r="H24" s="92" t="s">
        <v>26</v>
      </c>
      <c r="I24" s="157" t="s">
        <v>489</v>
      </c>
    </row>
    <row r="25" spans="1:15" s="82" customFormat="1" ht="12.75" customHeight="1">
      <c r="C25" s="93"/>
      <c r="D25" s="105"/>
      <c r="E25" s="105"/>
      <c r="F25" s="104"/>
      <c r="H25" s="92" t="s">
        <v>28</v>
      </c>
      <c r="I25" s="157" t="s">
        <v>490</v>
      </c>
    </row>
    <row r="26" spans="1:15" s="82" customFormat="1" ht="15" thickBot="1">
      <c r="A26" s="1083" t="s">
        <v>30</v>
      </c>
      <c r="B26" s="1133"/>
      <c r="C26" s="1133"/>
      <c r="D26" s="1133"/>
      <c r="E26" s="1133"/>
      <c r="F26" s="1133"/>
      <c r="G26" s="1133"/>
      <c r="H26" s="1133"/>
      <c r="I26" s="1133"/>
      <c r="J26" s="1133"/>
      <c r="K26" s="1133"/>
      <c r="L26" s="1133"/>
      <c r="M26" s="1133"/>
      <c r="N26" s="1133"/>
      <c r="O26" s="1133"/>
    </row>
    <row r="27" spans="1:15" s="82" customFormat="1" ht="14.25">
      <c r="A27" s="1076" t="s">
        <v>491</v>
      </c>
      <c r="B27" s="1077"/>
      <c r="C27" s="1077"/>
      <c r="D27" s="1078"/>
      <c r="E27" s="1079" t="s">
        <v>492</v>
      </c>
      <c r="F27" s="1134"/>
      <c r="G27" s="1134"/>
      <c r="H27" s="1134"/>
      <c r="I27" s="1134"/>
      <c r="J27" s="1135"/>
      <c r="K27" s="1076" t="s">
        <v>493</v>
      </c>
      <c r="L27" s="1077"/>
      <c r="M27" s="1077"/>
      <c r="N27" s="1077"/>
      <c r="O27" s="1078"/>
    </row>
    <row r="28" spans="1:15" s="82" customFormat="1" ht="12.75" customHeight="1">
      <c r="A28" s="970" t="s">
        <v>33</v>
      </c>
      <c r="B28" s="1061"/>
      <c r="C28" s="1061"/>
      <c r="D28" s="217" t="s">
        <v>34</v>
      </c>
      <c r="E28" s="970" t="s">
        <v>33</v>
      </c>
      <c r="F28" s="1061"/>
      <c r="G28" s="1061"/>
      <c r="H28" s="1061"/>
      <c r="I28" s="1065" t="s">
        <v>35</v>
      </c>
      <c r="J28" s="1136"/>
      <c r="K28" s="970" t="s">
        <v>33</v>
      </c>
      <c r="L28" s="1061"/>
      <c r="M28" s="1061"/>
      <c r="N28" s="1067" t="s">
        <v>35</v>
      </c>
      <c r="O28" s="1068"/>
    </row>
    <row r="29" spans="1:15" s="82" customFormat="1" ht="12.75" customHeight="1">
      <c r="A29" s="970" t="s">
        <v>199</v>
      </c>
      <c r="B29" s="1061"/>
      <c r="C29" s="1061"/>
      <c r="D29" s="218">
        <v>0</v>
      </c>
      <c r="E29" s="970" t="s">
        <v>199</v>
      </c>
      <c r="F29" s="1061"/>
      <c r="G29" s="1061"/>
      <c r="H29" s="1061"/>
      <c r="I29" s="1073">
        <v>1320</v>
      </c>
      <c r="J29" s="1137"/>
      <c r="K29" s="970" t="s">
        <v>199</v>
      </c>
      <c r="L29" s="1061"/>
      <c r="M29" s="1061"/>
      <c r="N29" s="1074">
        <v>1920</v>
      </c>
      <c r="O29" s="1075"/>
    </row>
    <row r="30" spans="1:15" s="82" customFormat="1" ht="12.75" customHeight="1">
      <c r="A30" s="970" t="s">
        <v>37</v>
      </c>
      <c r="B30" s="1061"/>
      <c r="C30" s="1061"/>
      <c r="D30" s="217" t="s">
        <v>38</v>
      </c>
      <c r="E30" s="970" t="s">
        <v>37</v>
      </c>
      <c r="F30" s="1061"/>
      <c r="G30" s="1061"/>
      <c r="H30" s="1061"/>
      <c r="I30" s="1065" t="s">
        <v>494</v>
      </c>
      <c r="J30" s="1136"/>
      <c r="K30" s="970" t="s">
        <v>37</v>
      </c>
      <c r="L30" s="1061"/>
      <c r="M30" s="1061"/>
      <c r="N30" s="1067" t="s">
        <v>495</v>
      </c>
      <c r="O30" s="1068"/>
    </row>
    <row r="31" spans="1:15" s="82" customFormat="1" ht="12.75" customHeight="1" thickBot="1">
      <c r="A31" s="968" t="s">
        <v>202</v>
      </c>
      <c r="B31" s="1062"/>
      <c r="C31" s="1062"/>
      <c r="D31" s="219" t="s">
        <v>496</v>
      </c>
      <c r="E31" s="968" t="s">
        <v>204</v>
      </c>
      <c r="F31" s="1062"/>
      <c r="G31" s="1062"/>
      <c r="H31" s="1062"/>
      <c r="I31" s="1069" t="s">
        <v>497</v>
      </c>
      <c r="J31" s="1138"/>
      <c r="K31" s="968" t="s">
        <v>40</v>
      </c>
      <c r="L31" s="1062"/>
      <c r="M31" s="1062"/>
      <c r="N31" s="1071" t="s">
        <v>497</v>
      </c>
      <c r="O31" s="1072"/>
    </row>
    <row r="32" spans="1:15" s="82" customFormat="1" ht="12.75" customHeight="1">
      <c r="A32" s="99"/>
      <c r="B32" s="73"/>
      <c r="C32" s="73"/>
      <c r="E32" s="99"/>
      <c r="F32" s="73"/>
      <c r="I32" s="99"/>
      <c r="J32" s="73"/>
      <c r="M32" s="220"/>
    </row>
    <row r="33" spans="1:15" s="82" customFormat="1" ht="12.75" customHeight="1">
      <c r="C33" s="221"/>
      <c r="D33" s="105"/>
      <c r="E33" s="105"/>
      <c r="F33" s="104"/>
      <c r="G33" s="104"/>
      <c r="H33" s="104"/>
      <c r="I33" s="1214"/>
      <c r="J33" s="1214"/>
      <c r="K33" s="1214"/>
    </row>
    <row r="34" spans="1:15" s="82" customFormat="1" ht="12.75" customHeight="1">
      <c r="C34" s="93"/>
      <c r="D34" s="105"/>
      <c r="E34" s="105"/>
      <c r="F34" s="104"/>
      <c r="G34" s="104"/>
      <c r="H34" s="104"/>
      <c r="I34" s="1214"/>
      <c r="J34" s="1214"/>
      <c r="K34" s="1214"/>
    </row>
    <row r="35" spans="1:15" s="82" customFormat="1" ht="12.75" customHeight="1">
      <c r="C35" s="93"/>
      <c r="D35" s="105"/>
      <c r="E35" s="105"/>
      <c r="F35" s="104"/>
      <c r="G35" s="104"/>
      <c r="H35" s="104"/>
      <c r="I35" s="1214"/>
      <c r="J35" s="1214"/>
      <c r="K35" s="1214"/>
    </row>
    <row r="36" spans="1:15" s="82" customFormat="1" ht="13.5" customHeight="1" thickBot="1">
      <c r="B36" s="119"/>
      <c r="C36" s="93"/>
      <c r="D36" s="105"/>
      <c r="E36" s="105"/>
      <c r="F36" s="104"/>
      <c r="G36" s="119"/>
      <c r="I36" s="119"/>
      <c r="J36" s="119"/>
      <c r="K36" s="119"/>
      <c r="L36" s="119"/>
    </row>
    <row r="37" spans="1:15" s="82" customFormat="1" ht="15.75" customHeight="1" thickBot="1">
      <c r="C37" s="93"/>
      <c r="F37" s="986" t="s">
        <v>43</v>
      </c>
      <c r="G37" s="987"/>
      <c r="H37" s="991" t="s">
        <v>44</v>
      </c>
      <c r="I37" s="992"/>
      <c r="J37" s="1064"/>
      <c r="K37" s="982"/>
      <c r="L37" s="982"/>
      <c r="M37" s="982"/>
      <c r="N37" s="982"/>
      <c r="O37" s="983"/>
    </row>
    <row r="38" spans="1:15" s="120" customFormat="1" ht="62.25" customHeight="1" thickBot="1">
      <c r="A38" s="55" t="s">
        <v>45</v>
      </c>
      <c r="B38" s="55" t="s">
        <v>46</v>
      </c>
      <c r="C38" s="222" t="s">
        <v>47</v>
      </c>
      <c r="D38" s="56" t="s">
        <v>48</v>
      </c>
      <c r="E38" s="56" t="s">
        <v>49</v>
      </c>
      <c r="F38" s="56" t="s">
        <v>50</v>
      </c>
      <c r="G38" s="55" t="s">
        <v>51</v>
      </c>
      <c r="H38" s="56" t="s">
        <v>52</v>
      </c>
      <c r="I38" s="55" t="s">
        <v>51</v>
      </c>
      <c r="J38" s="56" t="s">
        <v>53</v>
      </c>
      <c r="K38" s="55" t="s">
        <v>51</v>
      </c>
      <c r="L38" s="56" t="s">
        <v>54</v>
      </c>
      <c r="M38" s="55" t="s">
        <v>51</v>
      </c>
      <c r="N38" s="56" t="s">
        <v>55</v>
      </c>
      <c r="O38" s="55" t="s">
        <v>51</v>
      </c>
    </row>
    <row r="39" spans="1:15" s="227" customFormat="1" ht="27.75" thickBot="1">
      <c r="A39" s="1055">
        <v>17</v>
      </c>
      <c r="B39" s="1211"/>
      <c r="C39" s="223" t="s">
        <v>498</v>
      </c>
      <c r="D39" s="224" t="s">
        <v>4051</v>
      </c>
      <c r="E39" s="743">
        <v>39853.800000000003</v>
      </c>
      <c r="F39" s="225">
        <f>SUM(E39:E40)*(1-81%)</f>
        <v>7621.431999999998</v>
      </c>
      <c r="G39" s="1212">
        <f>F39*B39</f>
        <v>0</v>
      </c>
      <c r="H39" s="226">
        <f>F39*0.0845</f>
        <v>644.01100399999984</v>
      </c>
      <c r="I39" s="1212">
        <f>H39*B39</f>
        <v>0</v>
      </c>
      <c r="J39" s="226">
        <f>F39*0.032</f>
        <v>243.88582399999993</v>
      </c>
      <c r="K39" s="1212">
        <f>J39*B39</f>
        <v>0</v>
      </c>
      <c r="L39" s="62">
        <f>F39*0.0263</f>
        <v>200.44366159999996</v>
      </c>
      <c r="M39" s="1143">
        <f>L39*B39</f>
        <v>0</v>
      </c>
      <c r="N39" s="62">
        <f>F39*0.0219</f>
        <v>166.90936079999994</v>
      </c>
      <c r="O39" s="1143">
        <f>N39*B39</f>
        <v>0</v>
      </c>
    </row>
    <row r="40" spans="1:15" s="120" customFormat="1" ht="13.5" thickBot="1">
      <c r="A40" s="1057"/>
      <c r="B40" s="1149"/>
      <c r="C40" s="228" t="s">
        <v>56</v>
      </c>
      <c r="D40" s="229" t="s">
        <v>424</v>
      </c>
      <c r="E40" s="744">
        <v>259</v>
      </c>
      <c r="F40" s="784" t="s">
        <v>35</v>
      </c>
      <c r="G40" s="1213"/>
      <c r="H40" s="784" t="s">
        <v>35</v>
      </c>
      <c r="I40" s="1213"/>
      <c r="J40" s="784" t="s">
        <v>35</v>
      </c>
      <c r="K40" s="1213"/>
      <c r="L40" s="761" t="s">
        <v>35</v>
      </c>
      <c r="M40" s="1058"/>
      <c r="N40" s="761" t="s">
        <v>35</v>
      </c>
      <c r="O40" s="1058"/>
    </row>
    <row r="41" spans="1:15" s="120" customFormat="1" ht="13.5" thickBot="1">
      <c r="A41" s="230"/>
      <c r="B41" s="68"/>
      <c r="C41" s="68"/>
      <c r="D41" s="69"/>
      <c r="E41" s="745"/>
      <c r="F41" s="785"/>
      <c r="G41" s="20"/>
      <c r="H41" s="786"/>
      <c r="I41" s="20"/>
      <c r="J41" s="786"/>
      <c r="K41" s="21"/>
      <c r="L41" s="776"/>
      <c r="M41" s="22"/>
      <c r="N41" s="776"/>
      <c r="O41" s="23"/>
    </row>
    <row r="42" spans="1:15" s="227" customFormat="1" ht="27.75" thickBot="1">
      <c r="A42" s="1055" t="s">
        <v>499</v>
      </c>
      <c r="B42" s="1211"/>
      <c r="C42" s="223" t="s">
        <v>498</v>
      </c>
      <c r="D42" s="224" t="s">
        <v>4051</v>
      </c>
      <c r="E42" s="743">
        <v>39853.800000000003</v>
      </c>
      <c r="F42" s="225">
        <f>SUM(E42:E43)*(1-81%)</f>
        <v>7621.431999999998</v>
      </c>
      <c r="G42" s="1212">
        <f>F42*B42</f>
        <v>0</v>
      </c>
      <c r="H42" s="226">
        <f>F42*0.0845+I29/12</f>
        <v>754.01100399999984</v>
      </c>
      <c r="I42" s="1212">
        <f>H42*B42</f>
        <v>0</v>
      </c>
      <c r="J42" s="226">
        <f>F42*0.032+I29/12</f>
        <v>353.88582399999996</v>
      </c>
      <c r="K42" s="1212">
        <f>J42*B42</f>
        <v>0</v>
      </c>
      <c r="L42" s="62">
        <f>F42*0.0263+I29/12</f>
        <v>310.44366159999993</v>
      </c>
      <c r="M42" s="1143">
        <f>L42*B42</f>
        <v>0</v>
      </c>
      <c r="N42" s="62">
        <f>F42*0.0219+I29/12</f>
        <v>276.90936079999994</v>
      </c>
      <c r="O42" s="1143">
        <f>N42*B42</f>
        <v>0</v>
      </c>
    </row>
    <row r="43" spans="1:15" s="120" customFormat="1" ht="13.5" thickBot="1">
      <c r="A43" s="1057"/>
      <c r="B43" s="1149"/>
      <c r="C43" s="228" t="s">
        <v>56</v>
      </c>
      <c r="D43" s="229" t="s">
        <v>424</v>
      </c>
      <c r="E43" s="744">
        <v>259</v>
      </c>
      <c r="F43" s="784" t="s">
        <v>35</v>
      </c>
      <c r="G43" s="1213"/>
      <c r="H43" s="784" t="s">
        <v>35</v>
      </c>
      <c r="I43" s="1213"/>
      <c r="J43" s="784" t="s">
        <v>35</v>
      </c>
      <c r="K43" s="1213"/>
      <c r="L43" s="761" t="s">
        <v>35</v>
      </c>
      <c r="M43" s="1058"/>
      <c r="N43" s="761" t="s">
        <v>35</v>
      </c>
      <c r="O43" s="1058"/>
    </row>
    <row r="44" spans="1:15" s="120" customFormat="1" ht="13.5" thickBot="1">
      <c r="A44" s="230"/>
      <c r="B44" s="68"/>
      <c r="C44" s="68"/>
      <c r="D44" s="69"/>
      <c r="E44" s="745"/>
      <c r="F44" s="785"/>
      <c r="G44" s="20"/>
      <c r="H44" s="786"/>
      <c r="I44" s="20"/>
      <c r="J44" s="786"/>
      <c r="K44" s="21"/>
      <c r="L44" s="776"/>
      <c r="M44" s="22"/>
      <c r="N44" s="776"/>
      <c r="O44" s="23"/>
    </row>
    <row r="45" spans="1:15" s="227" customFormat="1" ht="27.75" thickBot="1">
      <c r="A45" s="1055" t="s">
        <v>500</v>
      </c>
      <c r="B45" s="1211"/>
      <c r="C45" s="223" t="s">
        <v>498</v>
      </c>
      <c r="D45" s="224" t="s">
        <v>4051</v>
      </c>
      <c r="E45" s="743">
        <v>39853.800000000003</v>
      </c>
      <c r="F45" s="225">
        <f>SUM(E45:E46)*(1-81%)</f>
        <v>7621.431999999998</v>
      </c>
      <c r="G45" s="1212">
        <f>F45*B45</f>
        <v>0</v>
      </c>
      <c r="H45" s="226">
        <f>F45*0.0845+N29/12</f>
        <v>804.01100399999984</v>
      </c>
      <c r="I45" s="1212">
        <f>H45*B45</f>
        <v>0</v>
      </c>
      <c r="J45" s="226">
        <f>F45*0.032+N29/12</f>
        <v>403.88582399999996</v>
      </c>
      <c r="K45" s="1212">
        <f>J45*B45</f>
        <v>0</v>
      </c>
      <c r="L45" s="62">
        <f>F45*0.0263+N29/12</f>
        <v>360.44366159999993</v>
      </c>
      <c r="M45" s="1143">
        <f>L45*B45</f>
        <v>0</v>
      </c>
      <c r="N45" s="62">
        <f>F45*0.0219+N29/12</f>
        <v>326.90936079999994</v>
      </c>
      <c r="O45" s="1143">
        <f>N45*B45</f>
        <v>0</v>
      </c>
    </row>
    <row r="46" spans="1:15" s="120" customFormat="1" ht="13.5" thickBot="1">
      <c r="A46" s="1057"/>
      <c r="B46" s="1149"/>
      <c r="C46" s="228" t="s">
        <v>56</v>
      </c>
      <c r="D46" s="229" t="s">
        <v>424</v>
      </c>
      <c r="E46" s="744">
        <v>259</v>
      </c>
      <c r="F46" s="784" t="s">
        <v>35</v>
      </c>
      <c r="G46" s="1213"/>
      <c r="H46" s="784" t="s">
        <v>35</v>
      </c>
      <c r="I46" s="1213"/>
      <c r="J46" s="784" t="s">
        <v>35</v>
      </c>
      <c r="K46" s="1213"/>
      <c r="L46" s="765" t="s">
        <v>35</v>
      </c>
      <c r="M46" s="1051"/>
      <c r="N46" s="765" t="s">
        <v>35</v>
      </c>
      <c r="O46" s="1051"/>
    </row>
    <row r="47" spans="1:15" s="125" customFormat="1" ht="13.5" customHeight="1" thickBot="1">
      <c r="A47" s="1208" t="s">
        <v>59</v>
      </c>
      <c r="B47" s="982"/>
      <c r="C47" s="982"/>
      <c r="D47" s="982"/>
      <c r="E47" s="982"/>
      <c r="F47" s="1151"/>
      <c r="G47" s="1151"/>
      <c r="H47" s="1151"/>
      <c r="I47" s="1151"/>
      <c r="J47" s="1151"/>
      <c r="K47" s="1151"/>
      <c r="L47" s="1151"/>
      <c r="M47" s="1151"/>
      <c r="N47" s="1151"/>
      <c r="O47" s="1152"/>
    </row>
    <row r="48" spans="1:15" s="120" customFormat="1" ht="13.5" thickBot="1">
      <c r="A48" s="1001"/>
      <c r="B48" s="787"/>
      <c r="C48" s="651" t="s">
        <v>103</v>
      </c>
      <c r="D48" s="298" t="s">
        <v>104</v>
      </c>
      <c r="E48" s="491">
        <v>129.99</v>
      </c>
      <c r="F48" s="362">
        <f t="shared" ref="F48:F79" si="0">E48*(1-40%)</f>
        <v>77.994</v>
      </c>
      <c r="G48" s="234">
        <f t="shared" ref="G48:G79" si="1">F48*B48</f>
        <v>0</v>
      </c>
      <c r="H48" s="234">
        <f t="shared" ref="H48:H79" si="2">F48*0.0845</f>
        <v>6.5904930000000004</v>
      </c>
      <c r="I48" s="234">
        <f t="shared" ref="I48:I79" si="3">H48*B48</f>
        <v>0</v>
      </c>
      <c r="J48" s="234">
        <f t="shared" ref="J48:J79" si="4">F48*0.032</f>
        <v>2.4958080000000002</v>
      </c>
      <c r="K48" s="234">
        <f t="shared" ref="K48:K79" si="5">J48*B48</f>
        <v>0</v>
      </c>
      <c r="L48" s="234">
        <f t="shared" ref="L48:L79" si="6">F48*0.0263</f>
        <v>2.0512421999999999</v>
      </c>
      <c r="M48" s="234">
        <f t="shared" ref="M48:M79" si="7">L48*B48</f>
        <v>0</v>
      </c>
      <c r="N48" s="234">
        <f t="shared" ref="N48:N79" si="8">F48*0.0219</f>
        <v>1.7080686</v>
      </c>
      <c r="O48" s="234">
        <f t="shared" ref="O48:O79" si="9">N48*B48</f>
        <v>0</v>
      </c>
    </row>
    <row r="49" spans="1:15" s="120" customFormat="1" ht="13.5" thickBot="1">
      <c r="A49" s="1149"/>
      <c r="B49" s="788"/>
      <c r="C49" s="297" t="s">
        <v>105</v>
      </c>
      <c r="D49" s="298" t="s">
        <v>325</v>
      </c>
      <c r="E49" s="491">
        <v>399</v>
      </c>
      <c r="F49" s="233">
        <f t="shared" si="0"/>
        <v>239.39999999999998</v>
      </c>
      <c r="G49" s="235">
        <f t="shared" si="1"/>
        <v>0</v>
      </c>
      <c r="H49" s="234">
        <f t="shared" si="2"/>
        <v>20.229299999999999</v>
      </c>
      <c r="I49" s="234">
        <f t="shared" si="3"/>
        <v>0</v>
      </c>
      <c r="J49" s="234">
        <f t="shared" si="4"/>
        <v>7.6607999999999992</v>
      </c>
      <c r="K49" s="234">
        <f t="shared" si="5"/>
        <v>0</v>
      </c>
      <c r="L49" s="234">
        <f t="shared" si="6"/>
        <v>6.2962199999999999</v>
      </c>
      <c r="M49" s="234">
        <f t="shared" si="7"/>
        <v>0</v>
      </c>
      <c r="N49" s="234">
        <f t="shared" si="8"/>
        <v>5.2428599999999994</v>
      </c>
      <c r="O49" s="234">
        <f t="shared" si="9"/>
        <v>0</v>
      </c>
    </row>
    <row r="50" spans="1:15" s="120" customFormat="1" ht="13.5" thickBot="1">
      <c r="A50" s="1149"/>
      <c r="B50" s="788"/>
      <c r="C50" s="492" t="s">
        <v>107</v>
      </c>
      <c r="D50" s="494" t="s">
        <v>108</v>
      </c>
      <c r="E50" s="394">
        <v>250</v>
      </c>
      <c r="F50" s="233">
        <f t="shared" si="0"/>
        <v>150</v>
      </c>
      <c r="G50" s="235">
        <f t="shared" si="1"/>
        <v>0</v>
      </c>
      <c r="H50" s="234">
        <f t="shared" si="2"/>
        <v>12.675000000000001</v>
      </c>
      <c r="I50" s="234">
        <f t="shared" si="3"/>
        <v>0</v>
      </c>
      <c r="J50" s="234">
        <f t="shared" si="4"/>
        <v>4.8</v>
      </c>
      <c r="K50" s="234">
        <f t="shared" si="5"/>
        <v>0</v>
      </c>
      <c r="L50" s="234">
        <f t="shared" si="6"/>
        <v>3.9450000000000003</v>
      </c>
      <c r="M50" s="234">
        <f t="shared" si="7"/>
        <v>0</v>
      </c>
      <c r="N50" s="234">
        <f t="shared" si="8"/>
        <v>3.2849999999999997</v>
      </c>
      <c r="O50" s="234">
        <f t="shared" si="9"/>
        <v>0</v>
      </c>
    </row>
    <row r="51" spans="1:15" s="120" customFormat="1" ht="13.5" thickBot="1">
      <c r="A51" s="1149"/>
      <c r="B51" s="788"/>
      <c r="C51" s="651" t="s">
        <v>109</v>
      </c>
      <c r="D51" s="696" t="s">
        <v>110</v>
      </c>
      <c r="E51" s="491">
        <v>400</v>
      </c>
      <c r="F51" s="233">
        <f t="shared" si="0"/>
        <v>240</v>
      </c>
      <c r="G51" s="235">
        <f t="shared" si="1"/>
        <v>0</v>
      </c>
      <c r="H51" s="234">
        <f t="shared" si="2"/>
        <v>20.28</v>
      </c>
      <c r="I51" s="234">
        <f t="shared" si="3"/>
        <v>0</v>
      </c>
      <c r="J51" s="234">
        <f t="shared" si="4"/>
        <v>7.68</v>
      </c>
      <c r="K51" s="234">
        <f t="shared" si="5"/>
        <v>0</v>
      </c>
      <c r="L51" s="234">
        <f t="shared" si="6"/>
        <v>6.3120000000000003</v>
      </c>
      <c r="M51" s="234">
        <f t="shared" si="7"/>
        <v>0</v>
      </c>
      <c r="N51" s="234">
        <f t="shared" si="8"/>
        <v>5.2560000000000002</v>
      </c>
      <c r="O51" s="234">
        <f t="shared" si="9"/>
        <v>0</v>
      </c>
    </row>
    <row r="52" spans="1:15" s="120" customFormat="1" ht="13.5" thickBot="1">
      <c r="A52" s="1149"/>
      <c r="B52" s="788"/>
      <c r="C52" s="297" t="s">
        <v>111</v>
      </c>
      <c r="D52" s="298" t="s">
        <v>112</v>
      </c>
      <c r="E52" s="491">
        <v>499</v>
      </c>
      <c r="F52" s="233">
        <f t="shared" si="0"/>
        <v>299.39999999999998</v>
      </c>
      <c r="G52" s="235">
        <f t="shared" si="1"/>
        <v>0</v>
      </c>
      <c r="H52" s="234">
        <f t="shared" si="2"/>
        <v>25.299299999999999</v>
      </c>
      <c r="I52" s="234">
        <f t="shared" si="3"/>
        <v>0</v>
      </c>
      <c r="J52" s="234">
        <f t="shared" si="4"/>
        <v>9.5808</v>
      </c>
      <c r="K52" s="234">
        <f t="shared" si="5"/>
        <v>0</v>
      </c>
      <c r="L52" s="234">
        <f t="shared" si="6"/>
        <v>7.8742199999999993</v>
      </c>
      <c r="M52" s="234">
        <f t="shared" si="7"/>
        <v>0</v>
      </c>
      <c r="N52" s="234">
        <f t="shared" si="8"/>
        <v>6.5568599999999995</v>
      </c>
      <c r="O52" s="234">
        <f t="shared" si="9"/>
        <v>0</v>
      </c>
    </row>
    <row r="53" spans="1:15" s="120" customFormat="1" ht="13.5" thickBot="1">
      <c r="A53" s="1149"/>
      <c r="B53" s="788"/>
      <c r="C53" s="297" t="s">
        <v>77</v>
      </c>
      <c r="D53" s="298" t="s">
        <v>78</v>
      </c>
      <c r="E53" s="491">
        <v>329</v>
      </c>
      <c r="F53" s="233">
        <f t="shared" si="0"/>
        <v>197.4</v>
      </c>
      <c r="G53" s="235">
        <f t="shared" si="1"/>
        <v>0</v>
      </c>
      <c r="H53" s="234">
        <f t="shared" si="2"/>
        <v>16.680300000000003</v>
      </c>
      <c r="I53" s="234">
        <f t="shared" si="3"/>
        <v>0</v>
      </c>
      <c r="J53" s="234">
        <f t="shared" si="4"/>
        <v>6.3168000000000006</v>
      </c>
      <c r="K53" s="234">
        <f t="shared" si="5"/>
        <v>0</v>
      </c>
      <c r="L53" s="234">
        <f t="shared" si="6"/>
        <v>5.1916200000000003</v>
      </c>
      <c r="M53" s="234">
        <f t="shared" si="7"/>
        <v>0</v>
      </c>
      <c r="N53" s="234">
        <f t="shared" si="8"/>
        <v>4.3230599999999999</v>
      </c>
      <c r="O53" s="234">
        <f t="shared" si="9"/>
        <v>0</v>
      </c>
    </row>
    <row r="54" spans="1:15" s="120" customFormat="1" ht="13.5" thickBot="1">
      <c r="A54" s="1149"/>
      <c r="B54" s="788"/>
      <c r="C54" s="297" t="s">
        <v>241</v>
      </c>
      <c r="D54" s="298" t="s">
        <v>3922</v>
      </c>
      <c r="E54" s="491">
        <v>235.4</v>
      </c>
      <c r="F54" s="233">
        <f t="shared" si="0"/>
        <v>141.24</v>
      </c>
      <c r="G54" s="235">
        <f t="shared" si="1"/>
        <v>0</v>
      </c>
      <c r="H54" s="234">
        <f t="shared" si="2"/>
        <v>11.934780000000002</v>
      </c>
      <c r="I54" s="234">
        <f t="shared" si="3"/>
        <v>0</v>
      </c>
      <c r="J54" s="234">
        <f t="shared" si="4"/>
        <v>4.5196800000000001</v>
      </c>
      <c r="K54" s="234">
        <f t="shared" si="5"/>
        <v>0</v>
      </c>
      <c r="L54" s="234">
        <f t="shared" si="6"/>
        <v>3.7146120000000002</v>
      </c>
      <c r="M54" s="234">
        <f t="shared" si="7"/>
        <v>0</v>
      </c>
      <c r="N54" s="234">
        <f t="shared" si="8"/>
        <v>3.093156</v>
      </c>
      <c r="O54" s="234">
        <f t="shared" si="9"/>
        <v>0</v>
      </c>
    </row>
    <row r="55" spans="1:15" s="120" customFormat="1" ht="13.5" thickBot="1">
      <c r="A55" s="1149"/>
      <c r="B55" s="788"/>
      <c r="C55" s="297" t="s">
        <v>242</v>
      </c>
      <c r="D55" s="298" t="s">
        <v>3854</v>
      </c>
      <c r="E55" s="491">
        <v>328.49</v>
      </c>
      <c r="F55" s="233">
        <f>E55*(1-40%)</f>
        <v>197.09399999999999</v>
      </c>
      <c r="G55" s="235">
        <f>F55*B55</f>
        <v>0</v>
      </c>
      <c r="H55" s="234">
        <f>F55*0.0845</f>
        <v>16.654443000000001</v>
      </c>
      <c r="I55" s="234">
        <f>H55*B55</f>
        <v>0</v>
      </c>
      <c r="J55" s="234">
        <f>F55*0.032</f>
        <v>6.3070079999999997</v>
      </c>
      <c r="K55" s="234">
        <f>J55*B55</f>
        <v>0</v>
      </c>
      <c r="L55" s="234">
        <f>F55*0.0263</f>
        <v>5.1835721999999995</v>
      </c>
      <c r="M55" s="234">
        <f>L55*B55</f>
        <v>0</v>
      </c>
      <c r="N55" s="234">
        <f>F55*0.0219</f>
        <v>4.3163586</v>
      </c>
      <c r="O55" s="234">
        <f>N55*B55</f>
        <v>0</v>
      </c>
    </row>
    <row r="56" spans="1:15" s="120" customFormat="1" ht="13.5" thickBot="1">
      <c r="A56" s="1149"/>
      <c r="B56" s="788"/>
      <c r="C56" s="651" t="s">
        <v>117</v>
      </c>
      <c r="D56" s="298" t="s">
        <v>118</v>
      </c>
      <c r="E56" s="491">
        <v>999.38</v>
      </c>
      <c r="F56" s="233">
        <f>E56*(1-40%)</f>
        <v>599.62799999999993</v>
      </c>
      <c r="G56" s="235">
        <f>F56*B56</f>
        <v>0</v>
      </c>
      <c r="H56" s="234">
        <f>F56*0.0845</f>
        <v>50.668565999999998</v>
      </c>
      <c r="I56" s="234">
        <f>H56*B56</f>
        <v>0</v>
      </c>
      <c r="J56" s="234">
        <f>F56*0.032</f>
        <v>19.188095999999998</v>
      </c>
      <c r="K56" s="234">
        <f>J56*B56</f>
        <v>0</v>
      </c>
      <c r="L56" s="234">
        <f>F56*0.0263</f>
        <v>15.770216399999999</v>
      </c>
      <c r="M56" s="234">
        <f>L56*B56</f>
        <v>0</v>
      </c>
      <c r="N56" s="234">
        <f>F56*0.0219</f>
        <v>13.131853199999998</v>
      </c>
      <c r="O56" s="234">
        <f>N56*B56</f>
        <v>0</v>
      </c>
    </row>
    <row r="57" spans="1:15" s="120" customFormat="1" ht="13.5" thickBot="1">
      <c r="A57" s="1149"/>
      <c r="B57" s="788"/>
      <c r="C57" s="653" t="s">
        <v>119</v>
      </c>
      <c r="D57" s="494" t="s">
        <v>120</v>
      </c>
      <c r="E57" s="394">
        <v>222.6</v>
      </c>
      <c r="F57" s="233">
        <f t="shared" si="0"/>
        <v>133.56</v>
      </c>
      <c r="G57" s="235">
        <f t="shared" si="1"/>
        <v>0</v>
      </c>
      <c r="H57" s="234">
        <f t="shared" si="2"/>
        <v>11.285820000000001</v>
      </c>
      <c r="I57" s="234">
        <f t="shared" si="3"/>
        <v>0</v>
      </c>
      <c r="J57" s="234">
        <f t="shared" si="4"/>
        <v>4.2739200000000004</v>
      </c>
      <c r="K57" s="234">
        <f t="shared" si="5"/>
        <v>0</v>
      </c>
      <c r="L57" s="234">
        <f t="shared" si="6"/>
        <v>3.5126280000000003</v>
      </c>
      <c r="M57" s="234">
        <f t="shared" si="7"/>
        <v>0</v>
      </c>
      <c r="N57" s="234">
        <f t="shared" si="8"/>
        <v>2.9249640000000001</v>
      </c>
      <c r="O57" s="234">
        <f t="shared" si="9"/>
        <v>0</v>
      </c>
    </row>
    <row r="58" spans="1:15" s="120" customFormat="1" ht="26.25" thickBot="1">
      <c r="A58" s="1149"/>
      <c r="B58" s="788"/>
      <c r="C58" s="493" t="s">
        <v>244</v>
      </c>
      <c r="D58" s="494" t="s">
        <v>3855</v>
      </c>
      <c r="E58" s="394">
        <v>1259.3900000000001</v>
      </c>
      <c r="F58" s="233">
        <f t="shared" si="0"/>
        <v>755.63400000000001</v>
      </c>
      <c r="G58" s="235">
        <f t="shared" si="1"/>
        <v>0</v>
      </c>
      <c r="H58" s="234">
        <f t="shared" si="2"/>
        <v>63.851073000000007</v>
      </c>
      <c r="I58" s="234">
        <f t="shared" si="3"/>
        <v>0</v>
      </c>
      <c r="J58" s="234">
        <f t="shared" si="4"/>
        <v>24.180288000000001</v>
      </c>
      <c r="K58" s="234">
        <f t="shared" si="5"/>
        <v>0</v>
      </c>
      <c r="L58" s="234">
        <f t="shared" si="6"/>
        <v>19.873174200000001</v>
      </c>
      <c r="M58" s="234">
        <f t="shared" si="7"/>
        <v>0</v>
      </c>
      <c r="N58" s="234">
        <f t="shared" si="8"/>
        <v>16.548384599999999</v>
      </c>
      <c r="O58" s="234">
        <f t="shared" si="9"/>
        <v>0</v>
      </c>
    </row>
    <row r="59" spans="1:15" s="120" customFormat="1" ht="13.5" thickBot="1">
      <c r="A59" s="1149"/>
      <c r="B59" s="788"/>
      <c r="C59" s="297" t="s">
        <v>3856</v>
      </c>
      <c r="D59" s="298" t="s">
        <v>3857</v>
      </c>
      <c r="E59" s="491">
        <v>1399.56</v>
      </c>
      <c r="F59" s="233">
        <f t="shared" si="0"/>
        <v>839.73599999999999</v>
      </c>
      <c r="G59" s="235">
        <f t="shared" si="1"/>
        <v>0</v>
      </c>
      <c r="H59" s="234">
        <f t="shared" si="2"/>
        <v>70.957692000000009</v>
      </c>
      <c r="I59" s="234">
        <f t="shared" si="3"/>
        <v>0</v>
      </c>
      <c r="J59" s="234">
        <f t="shared" si="4"/>
        <v>26.871552000000001</v>
      </c>
      <c r="K59" s="234">
        <f t="shared" si="5"/>
        <v>0</v>
      </c>
      <c r="L59" s="234">
        <f t="shared" si="6"/>
        <v>22.0850568</v>
      </c>
      <c r="M59" s="234">
        <f t="shared" si="7"/>
        <v>0</v>
      </c>
      <c r="N59" s="234">
        <f t="shared" si="8"/>
        <v>18.390218399999998</v>
      </c>
      <c r="O59" s="234">
        <f t="shared" si="9"/>
        <v>0</v>
      </c>
    </row>
    <row r="60" spans="1:15" s="120" customFormat="1" ht="26.25" thickBot="1">
      <c r="A60" s="1149"/>
      <c r="B60" s="788"/>
      <c r="C60" s="588" t="s">
        <v>466</v>
      </c>
      <c r="D60" s="298" t="s">
        <v>3932</v>
      </c>
      <c r="E60" s="491">
        <v>2272.75</v>
      </c>
      <c r="F60" s="233">
        <f t="shared" si="0"/>
        <v>1363.6499999999999</v>
      </c>
      <c r="G60" s="235">
        <f t="shared" si="1"/>
        <v>0</v>
      </c>
      <c r="H60" s="234">
        <f t="shared" si="2"/>
        <v>115.228425</v>
      </c>
      <c r="I60" s="234">
        <f t="shared" si="3"/>
        <v>0</v>
      </c>
      <c r="J60" s="234">
        <f t="shared" si="4"/>
        <v>43.636799999999994</v>
      </c>
      <c r="K60" s="234">
        <f t="shared" si="5"/>
        <v>0</v>
      </c>
      <c r="L60" s="234">
        <f t="shared" si="6"/>
        <v>35.863994999999996</v>
      </c>
      <c r="M60" s="234">
        <f t="shared" si="7"/>
        <v>0</v>
      </c>
      <c r="N60" s="234">
        <f t="shared" si="8"/>
        <v>29.863934999999994</v>
      </c>
      <c r="O60" s="234">
        <f t="shared" si="9"/>
        <v>0</v>
      </c>
    </row>
    <row r="61" spans="1:15" s="120" customFormat="1" ht="26.25" thickBot="1">
      <c r="A61" s="1149"/>
      <c r="B61" s="788"/>
      <c r="C61" s="588" t="s">
        <v>3933</v>
      </c>
      <c r="D61" s="575" t="s">
        <v>3934</v>
      </c>
      <c r="E61" s="491">
        <v>4108.8</v>
      </c>
      <c r="F61" s="25">
        <f t="shared" si="0"/>
        <v>2465.2800000000002</v>
      </c>
      <c r="G61" s="27">
        <f t="shared" si="1"/>
        <v>0</v>
      </c>
      <c r="H61" s="26">
        <f t="shared" si="2"/>
        <v>208.31616000000002</v>
      </c>
      <c r="I61" s="26">
        <f t="shared" si="3"/>
        <v>0</v>
      </c>
      <c r="J61" s="26">
        <f t="shared" si="4"/>
        <v>78.888960000000012</v>
      </c>
      <c r="K61" s="26">
        <f t="shared" si="5"/>
        <v>0</v>
      </c>
      <c r="L61" s="26">
        <f t="shared" si="6"/>
        <v>64.836864000000006</v>
      </c>
      <c r="M61" s="26">
        <f t="shared" si="7"/>
        <v>0</v>
      </c>
      <c r="N61" s="26">
        <f t="shared" si="8"/>
        <v>53.989632</v>
      </c>
      <c r="O61" s="26">
        <f t="shared" si="9"/>
        <v>0</v>
      </c>
    </row>
    <row r="62" spans="1:15" s="120" customFormat="1" ht="26.25" thickBot="1">
      <c r="A62" s="1149"/>
      <c r="B62" s="788"/>
      <c r="C62" s="588" t="s">
        <v>467</v>
      </c>
      <c r="D62" s="298" t="s">
        <v>3935</v>
      </c>
      <c r="E62" s="491">
        <v>4019.99</v>
      </c>
      <c r="F62" s="25">
        <f t="shared" si="0"/>
        <v>2411.9939999999997</v>
      </c>
      <c r="G62" s="27">
        <f t="shared" si="1"/>
        <v>0</v>
      </c>
      <c r="H62" s="26">
        <f t="shared" si="2"/>
        <v>203.81349299999999</v>
      </c>
      <c r="I62" s="26">
        <f t="shared" si="3"/>
        <v>0</v>
      </c>
      <c r="J62" s="26">
        <f t="shared" si="4"/>
        <v>77.183807999999985</v>
      </c>
      <c r="K62" s="26">
        <f t="shared" si="5"/>
        <v>0</v>
      </c>
      <c r="L62" s="26">
        <f t="shared" si="6"/>
        <v>63.43544219999999</v>
      </c>
      <c r="M62" s="26">
        <f t="shared" si="7"/>
        <v>0</v>
      </c>
      <c r="N62" s="26">
        <f t="shared" si="8"/>
        <v>52.822668599999993</v>
      </c>
      <c r="O62" s="26">
        <f t="shared" si="9"/>
        <v>0</v>
      </c>
    </row>
    <row r="63" spans="1:15" s="120" customFormat="1" ht="26.25" thickBot="1">
      <c r="A63" s="1149"/>
      <c r="B63" s="788"/>
      <c r="C63" s="655" t="s">
        <v>468</v>
      </c>
      <c r="D63" s="656" t="s">
        <v>3936</v>
      </c>
      <c r="E63" s="491">
        <v>5761.95</v>
      </c>
      <c r="F63" s="233">
        <f t="shared" si="0"/>
        <v>3457.1699999999996</v>
      </c>
      <c r="G63" s="235">
        <f t="shared" si="1"/>
        <v>0</v>
      </c>
      <c r="H63" s="234">
        <f t="shared" si="2"/>
        <v>292.13086499999997</v>
      </c>
      <c r="I63" s="234">
        <f t="shared" si="3"/>
        <v>0</v>
      </c>
      <c r="J63" s="234">
        <f t="shared" si="4"/>
        <v>110.62943999999999</v>
      </c>
      <c r="K63" s="234">
        <f t="shared" si="5"/>
        <v>0</v>
      </c>
      <c r="L63" s="234">
        <f t="shared" si="6"/>
        <v>90.923570999999995</v>
      </c>
      <c r="M63" s="234">
        <f t="shared" si="7"/>
        <v>0</v>
      </c>
      <c r="N63" s="234">
        <f t="shared" si="8"/>
        <v>75.712022999999988</v>
      </c>
      <c r="O63" s="234">
        <f t="shared" si="9"/>
        <v>0</v>
      </c>
    </row>
    <row r="64" spans="1:15" s="120" customFormat="1" ht="13.5" thickBot="1">
      <c r="A64" s="1149"/>
      <c r="B64" s="788"/>
      <c r="C64" s="297" t="s">
        <v>123</v>
      </c>
      <c r="D64" s="298" t="s">
        <v>3923</v>
      </c>
      <c r="E64" s="491">
        <v>329.56</v>
      </c>
      <c r="F64" s="233">
        <f t="shared" si="0"/>
        <v>197.73599999999999</v>
      </c>
      <c r="G64" s="235">
        <f t="shared" si="1"/>
        <v>0</v>
      </c>
      <c r="H64" s="234">
        <f t="shared" si="2"/>
        <v>16.708691999999999</v>
      </c>
      <c r="I64" s="234">
        <f t="shared" si="3"/>
        <v>0</v>
      </c>
      <c r="J64" s="234">
        <f t="shared" si="4"/>
        <v>6.3275519999999998</v>
      </c>
      <c r="K64" s="234">
        <f t="shared" si="5"/>
        <v>0</v>
      </c>
      <c r="L64" s="234">
        <f t="shared" si="6"/>
        <v>5.2004567999999995</v>
      </c>
      <c r="M64" s="234">
        <f t="shared" si="7"/>
        <v>0</v>
      </c>
      <c r="N64" s="234">
        <f t="shared" si="8"/>
        <v>4.3304183999999992</v>
      </c>
      <c r="O64" s="234">
        <f t="shared" si="9"/>
        <v>0</v>
      </c>
    </row>
    <row r="65" spans="1:15" s="120" customFormat="1" ht="13.5" thickBot="1">
      <c r="A65" s="1149"/>
      <c r="B65" s="788"/>
      <c r="C65" s="297" t="s">
        <v>3863</v>
      </c>
      <c r="D65" s="298" t="s">
        <v>3864</v>
      </c>
      <c r="E65" s="491">
        <v>352.03</v>
      </c>
      <c r="F65" s="233">
        <f t="shared" si="0"/>
        <v>211.21799999999999</v>
      </c>
      <c r="G65" s="235">
        <f t="shared" si="1"/>
        <v>0</v>
      </c>
      <c r="H65" s="234">
        <f t="shared" si="2"/>
        <v>17.847920999999999</v>
      </c>
      <c r="I65" s="234">
        <f t="shared" si="3"/>
        <v>0</v>
      </c>
      <c r="J65" s="234">
        <f t="shared" si="4"/>
        <v>6.7589759999999997</v>
      </c>
      <c r="K65" s="234">
        <f t="shared" si="5"/>
        <v>0</v>
      </c>
      <c r="L65" s="234">
        <f t="shared" si="6"/>
        <v>5.5550334000000001</v>
      </c>
      <c r="M65" s="234">
        <f t="shared" si="7"/>
        <v>0</v>
      </c>
      <c r="N65" s="234">
        <f t="shared" si="8"/>
        <v>4.6256741999999997</v>
      </c>
      <c r="O65" s="234">
        <f t="shared" si="9"/>
        <v>0</v>
      </c>
    </row>
    <row r="66" spans="1:15" s="120" customFormat="1" ht="13.5" thickBot="1">
      <c r="A66" s="1149"/>
      <c r="B66" s="788"/>
      <c r="C66" s="651" t="s">
        <v>366</v>
      </c>
      <c r="D66" s="298" t="s">
        <v>367</v>
      </c>
      <c r="E66" s="491">
        <v>588.5</v>
      </c>
      <c r="F66" s="233">
        <f t="shared" si="0"/>
        <v>353.09999999999997</v>
      </c>
      <c r="G66" s="235">
        <f t="shared" si="1"/>
        <v>0</v>
      </c>
      <c r="H66" s="234">
        <f t="shared" si="2"/>
        <v>29.836949999999998</v>
      </c>
      <c r="I66" s="234">
        <f t="shared" si="3"/>
        <v>0</v>
      </c>
      <c r="J66" s="234">
        <f t="shared" si="4"/>
        <v>11.299199999999999</v>
      </c>
      <c r="K66" s="234">
        <f t="shared" si="5"/>
        <v>0</v>
      </c>
      <c r="L66" s="234">
        <f t="shared" si="6"/>
        <v>9.2865299999999991</v>
      </c>
      <c r="M66" s="234">
        <f t="shared" si="7"/>
        <v>0</v>
      </c>
      <c r="N66" s="234">
        <f t="shared" si="8"/>
        <v>7.7328899999999994</v>
      </c>
      <c r="O66" s="234">
        <f t="shared" si="9"/>
        <v>0</v>
      </c>
    </row>
    <row r="67" spans="1:15" s="120" customFormat="1" ht="13.5" thickBot="1">
      <c r="A67" s="1149"/>
      <c r="B67" s="788"/>
      <c r="C67" s="297" t="s">
        <v>522</v>
      </c>
      <c r="D67" s="298" t="s">
        <v>432</v>
      </c>
      <c r="E67" s="491">
        <v>101.65</v>
      </c>
      <c r="F67" s="233">
        <f t="shared" si="0"/>
        <v>60.99</v>
      </c>
      <c r="G67" s="235">
        <f t="shared" si="1"/>
        <v>0</v>
      </c>
      <c r="H67" s="234">
        <f t="shared" si="2"/>
        <v>5.1536550000000005</v>
      </c>
      <c r="I67" s="234">
        <f t="shared" si="3"/>
        <v>0</v>
      </c>
      <c r="J67" s="234">
        <f t="shared" si="4"/>
        <v>1.9516800000000001</v>
      </c>
      <c r="K67" s="234">
        <f t="shared" si="5"/>
        <v>0</v>
      </c>
      <c r="L67" s="234">
        <f t="shared" si="6"/>
        <v>1.6040370000000002</v>
      </c>
      <c r="M67" s="234">
        <f t="shared" si="7"/>
        <v>0</v>
      </c>
      <c r="N67" s="234">
        <f t="shared" si="8"/>
        <v>1.3356809999999999</v>
      </c>
      <c r="O67" s="234">
        <f t="shared" si="9"/>
        <v>0</v>
      </c>
    </row>
    <row r="68" spans="1:15" s="120" customFormat="1" ht="13.5" thickBot="1">
      <c r="A68" s="1149"/>
      <c r="B68" s="788"/>
      <c r="C68" s="297" t="s">
        <v>3865</v>
      </c>
      <c r="D68" s="298" t="s">
        <v>3866</v>
      </c>
      <c r="E68" s="491">
        <v>145.52000000000001</v>
      </c>
      <c r="F68" s="233">
        <f t="shared" si="0"/>
        <v>87.311999999999998</v>
      </c>
      <c r="G68" s="235">
        <f t="shared" si="1"/>
        <v>0</v>
      </c>
      <c r="H68" s="234">
        <f t="shared" si="2"/>
        <v>7.3778640000000006</v>
      </c>
      <c r="I68" s="234">
        <f t="shared" si="3"/>
        <v>0</v>
      </c>
      <c r="J68" s="234">
        <f t="shared" si="4"/>
        <v>2.793984</v>
      </c>
      <c r="K68" s="234">
        <f t="shared" si="5"/>
        <v>0</v>
      </c>
      <c r="L68" s="234">
        <f t="shared" si="6"/>
        <v>2.2963056000000002</v>
      </c>
      <c r="M68" s="234">
        <f t="shared" si="7"/>
        <v>0</v>
      </c>
      <c r="N68" s="234">
        <f t="shared" si="8"/>
        <v>1.9121328</v>
      </c>
      <c r="O68" s="234">
        <f t="shared" si="9"/>
        <v>0</v>
      </c>
    </row>
    <row r="69" spans="1:15" s="120" customFormat="1" ht="13.5" thickBot="1">
      <c r="A69" s="1149"/>
      <c r="B69" s="788"/>
      <c r="C69" s="565" t="s">
        <v>127</v>
      </c>
      <c r="D69" s="298" t="s">
        <v>128</v>
      </c>
      <c r="E69" s="491">
        <v>148.72999999999999</v>
      </c>
      <c r="F69" s="233">
        <f t="shared" si="0"/>
        <v>89.237999999999985</v>
      </c>
      <c r="G69" s="235">
        <f t="shared" si="1"/>
        <v>0</v>
      </c>
      <c r="H69" s="234">
        <f t="shared" si="2"/>
        <v>7.5406109999999993</v>
      </c>
      <c r="I69" s="234">
        <f t="shared" si="3"/>
        <v>0</v>
      </c>
      <c r="J69" s="234">
        <f t="shared" si="4"/>
        <v>2.8556159999999995</v>
      </c>
      <c r="K69" s="234">
        <f t="shared" si="5"/>
        <v>0</v>
      </c>
      <c r="L69" s="234">
        <f t="shared" si="6"/>
        <v>2.3469593999999998</v>
      </c>
      <c r="M69" s="234">
        <f t="shared" si="7"/>
        <v>0</v>
      </c>
      <c r="N69" s="234">
        <f t="shared" si="8"/>
        <v>1.9543121999999997</v>
      </c>
      <c r="O69" s="234">
        <f t="shared" si="9"/>
        <v>0</v>
      </c>
    </row>
    <row r="70" spans="1:15" s="120" customFormat="1" ht="26.25" thickBot="1">
      <c r="A70" s="1149"/>
      <c r="B70" s="788"/>
      <c r="C70" s="565" t="s">
        <v>129</v>
      </c>
      <c r="D70" s="298" t="s">
        <v>171</v>
      </c>
      <c r="E70" s="491">
        <v>785</v>
      </c>
      <c r="F70" s="233">
        <f t="shared" si="0"/>
        <v>471</v>
      </c>
      <c r="G70" s="235">
        <f t="shared" si="1"/>
        <v>0</v>
      </c>
      <c r="H70" s="234">
        <f t="shared" si="2"/>
        <v>39.799500000000002</v>
      </c>
      <c r="I70" s="234">
        <f t="shared" si="3"/>
        <v>0</v>
      </c>
      <c r="J70" s="234">
        <f t="shared" si="4"/>
        <v>15.072000000000001</v>
      </c>
      <c r="K70" s="234">
        <f t="shared" si="5"/>
        <v>0</v>
      </c>
      <c r="L70" s="234">
        <f t="shared" si="6"/>
        <v>12.3873</v>
      </c>
      <c r="M70" s="234">
        <f t="shared" si="7"/>
        <v>0</v>
      </c>
      <c r="N70" s="234">
        <f t="shared" si="8"/>
        <v>10.3149</v>
      </c>
      <c r="O70" s="234">
        <f t="shared" si="9"/>
        <v>0</v>
      </c>
    </row>
    <row r="71" spans="1:15" s="120" customFormat="1" ht="13.5" thickBot="1">
      <c r="A71" s="1149"/>
      <c r="B71" s="788"/>
      <c r="C71" s="651" t="s">
        <v>131</v>
      </c>
      <c r="D71" s="298" t="s">
        <v>172</v>
      </c>
      <c r="E71" s="491">
        <v>821</v>
      </c>
      <c r="F71" s="233">
        <f t="shared" si="0"/>
        <v>492.59999999999997</v>
      </c>
      <c r="G71" s="235">
        <f t="shared" si="1"/>
        <v>0</v>
      </c>
      <c r="H71" s="234">
        <f t="shared" si="2"/>
        <v>41.624699999999997</v>
      </c>
      <c r="I71" s="234">
        <f t="shared" si="3"/>
        <v>0</v>
      </c>
      <c r="J71" s="234">
        <f t="shared" si="4"/>
        <v>15.763199999999999</v>
      </c>
      <c r="K71" s="234">
        <f t="shared" si="5"/>
        <v>0</v>
      </c>
      <c r="L71" s="234">
        <f t="shared" si="6"/>
        <v>12.95538</v>
      </c>
      <c r="M71" s="234">
        <f t="shared" si="7"/>
        <v>0</v>
      </c>
      <c r="N71" s="234">
        <f t="shared" si="8"/>
        <v>10.787939999999999</v>
      </c>
      <c r="O71" s="234">
        <f t="shared" si="9"/>
        <v>0</v>
      </c>
    </row>
    <row r="72" spans="1:15" s="120" customFormat="1" ht="13.5" thickBot="1">
      <c r="A72" s="1149"/>
      <c r="B72" s="788"/>
      <c r="C72" s="651" t="s">
        <v>133</v>
      </c>
      <c r="D72" s="298" t="s">
        <v>134</v>
      </c>
      <c r="E72" s="491">
        <v>690</v>
      </c>
      <c r="F72" s="233">
        <f t="shared" si="0"/>
        <v>414</v>
      </c>
      <c r="G72" s="235">
        <f t="shared" si="1"/>
        <v>0</v>
      </c>
      <c r="H72" s="234">
        <f t="shared" si="2"/>
        <v>34.983000000000004</v>
      </c>
      <c r="I72" s="234">
        <f t="shared" si="3"/>
        <v>0</v>
      </c>
      <c r="J72" s="234">
        <f t="shared" si="4"/>
        <v>13.248000000000001</v>
      </c>
      <c r="K72" s="234">
        <f t="shared" si="5"/>
        <v>0</v>
      </c>
      <c r="L72" s="234">
        <f t="shared" si="6"/>
        <v>10.888199999999999</v>
      </c>
      <c r="M72" s="234">
        <f t="shared" si="7"/>
        <v>0</v>
      </c>
      <c r="N72" s="234">
        <f t="shared" si="8"/>
        <v>9.0665999999999993</v>
      </c>
      <c r="O72" s="234">
        <f t="shared" si="9"/>
        <v>0</v>
      </c>
    </row>
    <row r="73" spans="1:15" s="120" customFormat="1" ht="13.5" thickBot="1">
      <c r="A73" s="1149"/>
      <c r="B73" s="788"/>
      <c r="C73" s="565" t="s">
        <v>135</v>
      </c>
      <c r="D73" s="590" t="s">
        <v>136</v>
      </c>
      <c r="E73" s="491">
        <v>191</v>
      </c>
      <c r="F73" s="233">
        <f t="shared" si="0"/>
        <v>114.6</v>
      </c>
      <c r="G73" s="235">
        <f t="shared" si="1"/>
        <v>0</v>
      </c>
      <c r="H73" s="234">
        <f t="shared" si="2"/>
        <v>9.6837</v>
      </c>
      <c r="I73" s="234">
        <f t="shared" si="3"/>
        <v>0</v>
      </c>
      <c r="J73" s="234">
        <f t="shared" si="4"/>
        <v>3.6671999999999998</v>
      </c>
      <c r="K73" s="234">
        <f t="shared" si="5"/>
        <v>0</v>
      </c>
      <c r="L73" s="234">
        <f t="shared" si="6"/>
        <v>3.0139800000000001</v>
      </c>
      <c r="M73" s="234">
        <f t="shared" si="7"/>
        <v>0</v>
      </c>
      <c r="N73" s="234">
        <f t="shared" si="8"/>
        <v>2.5097399999999999</v>
      </c>
      <c r="O73" s="234">
        <f t="shared" si="9"/>
        <v>0</v>
      </c>
    </row>
    <row r="74" spans="1:15" s="120" customFormat="1" ht="26.25" thickBot="1">
      <c r="A74" s="1149"/>
      <c r="B74" s="788"/>
      <c r="C74" s="589" t="s">
        <v>137</v>
      </c>
      <c r="D74" s="590" t="s">
        <v>3867</v>
      </c>
      <c r="E74" s="491">
        <v>667.8</v>
      </c>
      <c r="F74" s="233">
        <f t="shared" si="0"/>
        <v>400.67999999999995</v>
      </c>
      <c r="G74" s="235">
        <f t="shared" si="1"/>
        <v>0</v>
      </c>
      <c r="H74" s="234">
        <f t="shared" si="2"/>
        <v>33.857459999999996</v>
      </c>
      <c r="I74" s="234">
        <f t="shared" si="3"/>
        <v>0</v>
      </c>
      <c r="J74" s="234">
        <f t="shared" si="4"/>
        <v>12.821759999999999</v>
      </c>
      <c r="K74" s="234">
        <f t="shared" si="5"/>
        <v>0</v>
      </c>
      <c r="L74" s="234">
        <f t="shared" si="6"/>
        <v>10.537883999999998</v>
      </c>
      <c r="M74" s="234">
        <f t="shared" si="7"/>
        <v>0</v>
      </c>
      <c r="N74" s="234">
        <f t="shared" si="8"/>
        <v>8.7748919999999995</v>
      </c>
      <c r="O74" s="234">
        <f t="shared" si="9"/>
        <v>0</v>
      </c>
    </row>
    <row r="75" spans="1:15" s="120" customFormat="1" ht="26.25" thickBot="1">
      <c r="A75" s="1149"/>
      <c r="B75" s="788"/>
      <c r="C75" s="591" t="s">
        <v>139</v>
      </c>
      <c r="D75" s="592" t="s">
        <v>140</v>
      </c>
      <c r="E75" s="657">
        <v>250</v>
      </c>
      <c r="F75" s="233">
        <f t="shared" si="0"/>
        <v>150</v>
      </c>
      <c r="G75" s="235">
        <f t="shared" si="1"/>
        <v>0</v>
      </c>
      <c r="H75" s="234">
        <f t="shared" si="2"/>
        <v>12.675000000000001</v>
      </c>
      <c r="I75" s="234">
        <f t="shared" si="3"/>
        <v>0</v>
      </c>
      <c r="J75" s="234">
        <f t="shared" si="4"/>
        <v>4.8</v>
      </c>
      <c r="K75" s="234">
        <f t="shared" si="5"/>
        <v>0</v>
      </c>
      <c r="L75" s="234">
        <f t="shared" si="6"/>
        <v>3.9450000000000003</v>
      </c>
      <c r="M75" s="234">
        <f t="shared" si="7"/>
        <v>0</v>
      </c>
      <c r="N75" s="234">
        <f t="shared" si="8"/>
        <v>3.2849999999999997</v>
      </c>
      <c r="O75" s="234">
        <f t="shared" si="9"/>
        <v>0</v>
      </c>
    </row>
    <row r="76" spans="1:15" s="120" customFormat="1" ht="13.5" thickBot="1">
      <c r="A76" s="1149"/>
      <c r="B76" s="788"/>
      <c r="C76" s="297" t="s">
        <v>141</v>
      </c>
      <c r="D76" s="298" t="s">
        <v>174</v>
      </c>
      <c r="E76" s="491">
        <v>250</v>
      </c>
      <c r="F76" s="233">
        <f t="shared" si="0"/>
        <v>150</v>
      </c>
      <c r="G76" s="27">
        <f t="shared" si="1"/>
        <v>0</v>
      </c>
      <c r="H76" s="234">
        <f t="shared" si="2"/>
        <v>12.675000000000001</v>
      </c>
      <c r="I76" s="26">
        <f t="shared" si="3"/>
        <v>0</v>
      </c>
      <c r="J76" s="234">
        <f t="shared" si="4"/>
        <v>4.8</v>
      </c>
      <c r="K76" s="26">
        <f t="shared" si="5"/>
        <v>0</v>
      </c>
      <c r="L76" s="234">
        <f t="shared" si="6"/>
        <v>3.9450000000000003</v>
      </c>
      <c r="M76" s="26">
        <f t="shared" si="7"/>
        <v>0</v>
      </c>
      <c r="N76" s="234">
        <f t="shared" si="8"/>
        <v>3.2849999999999997</v>
      </c>
      <c r="O76" s="26">
        <f t="shared" si="9"/>
        <v>0</v>
      </c>
    </row>
    <row r="77" spans="1:15" s="120" customFormat="1" ht="13.5" thickBot="1">
      <c r="A77" s="1149"/>
      <c r="B77" s="788"/>
      <c r="C77" s="297" t="s">
        <v>469</v>
      </c>
      <c r="D77" s="298" t="s">
        <v>470</v>
      </c>
      <c r="E77" s="491">
        <v>3919.41</v>
      </c>
      <c r="F77" s="233">
        <f t="shared" si="0"/>
        <v>2351.6459999999997</v>
      </c>
      <c r="G77" s="235">
        <f t="shared" si="1"/>
        <v>0</v>
      </c>
      <c r="H77" s="234">
        <f t="shared" si="2"/>
        <v>198.71408699999998</v>
      </c>
      <c r="I77" s="234">
        <f t="shared" si="3"/>
        <v>0</v>
      </c>
      <c r="J77" s="234">
        <f t="shared" si="4"/>
        <v>75.25267199999999</v>
      </c>
      <c r="K77" s="234">
        <f t="shared" si="5"/>
        <v>0</v>
      </c>
      <c r="L77" s="234">
        <f t="shared" si="6"/>
        <v>61.848289799999996</v>
      </c>
      <c r="M77" s="234">
        <f t="shared" si="7"/>
        <v>0</v>
      </c>
      <c r="N77" s="234">
        <f t="shared" si="8"/>
        <v>51.50104739999999</v>
      </c>
      <c r="O77" s="234">
        <f t="shared" si="9"/>
        <v>0</v>
      </c>
    </row>
    <row r="78" spans="1:15" s="120" customFormat="1" ht="13.5" thickBot="1">
      <c r="A78" s="1149"/>
      <c r="B78" s="788"/>
      <c r="C78" s="297" t="s">
        <v>471</v>
      </c>
      <c r="D78" s="298" t="s">
        <v>472</v>
      </c>
      <c r="E78" s="491">
        <v>2083.29</v>
      </c>
      <c r="F78" s="233">
        <f t="shared" si="0"/>
        <v>1249.9739999999999</v>
      </c>
      <c r="G78" s="235">
        <f t="shared" si="1"/>
        <v>0</v>
      </c>
      <c r="H78" s="234">
        <f t="shared" si="2"/>
        <v>105.622803</v>
      </c>
      <c r="I78" s="234">
        <f t="shared" si="3"/>
        <v>0</v>
      </c>
      <c r="J78" s="234">
        <f t="shared" si="4"/>
        <v>39.999167999999997</v>
      </c>
      <c r="K78" s="234">
        <f t="shared" si="5"/>
        <v>0</v>
      </c>
      <c r="L78" s="234">
        <f t="shared" si="6"/>
        <v>32.874316199999996</v>
      </c>
      <c r="M78" s="234">
        <f t="shared" si="7"/>
        <v>0</v>
      </c>
      <c r="N78" s="234">
        <f t="shared" si="8"/>
        <v>27.374430599999997</v>
      </c>
      <c r="O78" s="234">
        <f t="shared" si="9"/>
        <v>0</v>
      </c>
    </row>
    <row r="79" spans="1:15" s="120" customFormat="1" ht="13.5" thickBot="1">
      <c r="A79" s="1149"/>
      <c r="B79" s="788"/>
      <c r="C79" s="565" t="s">
        <v>252</v>
      </c>
      <c r="D79" s="298" t="s">
        <v>3869</v>
      </c>
      <c r="E79" s="491">
        <v>996.17</v>
      </c>
      <c r="F79" s="233">
        <f t="shared" si="0"/>
        <v>597.702</v>
      </c>
      <c r="G79" s="235">
        <f t="shared" si="1"/>
        <v>0</v>
      </c>
      <c r="H79" s="234">
        <f t="shared" si="2"/>
        <v>50.505819000000002</v>
      </c>
      <c r="I79" s="234">
        <f t="shared" si="3"/>
        <v>0</v>
      </c>
      <c r="J79" s="234">
        <f t="shared" si="4"/>
        <v>19.126463999999999</v>
      </c>
      <c r="K79" s="234">
        <f t="shared" si="5"/>
        <v>0</v>
      </c>
      <c r="L79" s="234">
        <f t="shared" si="6"/>
        <v>15.7195626</v>
      </c>
      <c r="M79" s="234">
        <f t="shared" si="7"/>
        <v>0</v>
      </c>
      <c r="N79" s="234">
        <f t="shared" si="8"/>
        <v>13.0896738</v>
      </c>
      <c r="O79" s="234">
        <f t="shared" si="9"/>
        <v>0</v>
      </c>
    </row>
    <row r="80" spans="1:15" s="120" customFormat="1" ht="26.25" thickBot="1">
      <c r="A80" s="1149"/>
      <c r="B80" s="788"/>
      <c r="C80" s="297" t="s">
        <v>218</v>
      </c>
      <c r="D80" s="298" t="s">
        <v>253</v>
      </c>
      <c r="E80" s="491">
        <v>70.62</v>
      </c>
      <c r="F80" s="233">
        <f t="shared" ref="F80:F92" si="10">E80*(1-40%)</f>
        <v>42.372</v>
      </c>
      <c r="G80" s="235">
        <f t="shared" ref="G80:G92" si="11">F80*B80</f>
        <v>0</v>
      </c>
      <c r="H80" s="234">
        <f t="shared" ref="H80:H92" si="12">F80*0.0845</f>
        <v>3.5804340000000003</v>
      </c>
      <c r="I80" s="234">
        <f t="shared" ref="I80:I92" si="13">H80*B80</f>
        <v>0</v>
      </c>
      <c r="J80" s="234">
        <f t="shared" ref="J80:J92" si="14">F80*0.032</f>
        <v>1.355904</v>
      </c>
      <c r="K80" s="234">
        <f t="shared" ref="K80:K92" si="15">J80*B80</f>
        <v>0</v>
      </c>
      <c r="L80" s="234">
        <f t="shared" ref="L80:L92" si="16">F80*0.0263</f>
        <v>1.1143836</v>
      </c>
      <c r="M80" s="234">
        <f t="shared" ref="M80:M92" si="17">L80*B80</f>
        <v>0</v>
      </c>
      <c r="N80" s="234">
        <f t="shared" ref="N80:N92" si="18">F80*0.0219</f>
        <v>0.92794679999999996</v>
      </c>
      <c r="O80" s="234">
        <f t="shared" ref="O80:O92" si="19">N80*B80</f>
        <v>0</v>
      </c>
    </row>
    <row r="81" spans="1:15" s="120" customFormat="1" ht="13.5" thickBot="1">
      <c r="A81" s="1149"/>
      <c r="B81" s="788"/>
      <c r="C81" s="297" t="s">
        <v>3870</v>
      </c>
      <c r="D81" s="298" t="s">
        <v>433</v>
      </c>
      <c r="E81" s="491">
        <v>131.61000000000001</v>
      </c>
      <c r="F81" s="233">
        <f>E81*(1-40%)</f>
        <v>78.966000000000008</v>
      </c>
      <c r="G81" s="235">
        <f>F81*B81</f>
        <v>0</v>
      </c>
      <c r="H81" s="234">
        <f>F81*0.0845</f>
        <v>6.6726270000000012</v>
      </c>
      <c r="I81" s="234">
        <f>H81*B81</f>
        <v>0</v>
      </c>
      <c r="J81" s="234">
        <f>F81*0.032</f>
        <v>2.5269120000000003</v>
      </c>
      <c r="K81" s="234">
        <f>J81*B81</f>
        <v>0</v>
      </c>
      <c r="L81" s="234">
        <f>F81*0.0263</f>
        <v>2.0768058000000003</v>
      </c>
      <c r="M81" s="234">
        <f>L81*B81</f>
        <v>0</v>
      </c>
      <c r="N81" s="234">
        <f>F81*0.0219</f>
        <v>1.7293554000000002</v>
      </c>
      <c r="O81" s="234">
        <f>N81*B81</f>
        <v>0</v>
      </c>
    </row>
    <row r="82" spans="1:15" s="120" customFormat="1" ht="13.5" thickBot="1">
      <c r="A82" s="1149"/>
      <c r="B82" s="788"/>
      <c r="C82" s="297" t="s">
        <v>4048</v>
      </c>
      <c r="D82" s="298" t="s">
        <v>4049</v>
      </c>
      <c r="E82" s="491">
        <v>347.75</v>
      </c>
      <c r="F82" s="233">
        <f>E82*(1-40%)</f>
        <v>208.65</v>
      </c>
      <c r="G82" s="235">
        <f t="shared" si="11"/>
        <v>0</v>
      </c>
      <c r="H82" s="234">
        <f t="shared" si="12"/>
        <v>17.630925000000001</v>
      </c>
      <c r="I82" s="234">
        <f t="shared" si="13"/>
        <v>0</v>
      </c>
      <c r="J82" s="234">
        <f t="shared" si="14"/>
        <v>6.6768000000000001</v>
      </c>
      <c r="K82" s="234">
        <f t="shared" si="15"/>
        <v>0</v>
      </c>
      <c r="L82" s="234">
        <f t="shared" si="16"/>
        <v>5.487495</v>
      </c>
      <c r="M82" s="234">
        <f t="shared" si="17"/>
        <v>0</v>
      </c>
      <c r="N82" s="234">
        <f t="shared" si="18"/>
        <v>4.5694350000000004</v>
      </c>
      <c r="O82" s="234">
        <f t="shared" si="19"/>
        <v>0</v>
      </c>
    </row>
    <row r="83" spans="1:15" s="120" customFormat="1" ht="13.5" thickBot="1">
      <c r="A83" s="1149"/>
      <c r="B83" s="788"/>
      <c r="C83" s="651" t="s">
        <v>528</v>
      </c>
      <c r="D83" s="298" t="s">
        <v>3912</v>
      </c>
      <c r="E83" s="491">
        <v>1306.47</v>
      </c>
      <c r="F83" s="233">
        <f t="shared" si="10"/>
        <v>783.88199999999995</v>
      </c>
      <c r="G83" s="235">
        <f t="shared" si="11"/>
        <v>0</v>
      </c>
      <c r="H83" s="234">
        <f t="shared" si="12"/>
        <v>66.238028999999997</v>
      </c>
      <c r="I83" s="234">
        <f t="shared" si="13"/>
        <v>0</v>
      </c>
      <c r="J83" s="234">
        <f t="shared" si="14"/>
        <v>25.084223999999999</v>
      </c>
      <c r="K83" s="234">
        <f t="shared" si="15"/>
        <v>0</v>
      </c>
      <c r="L83" s="234">
        <f t="shared" si="16"/>
        <v>20.616096599999999</v>
      </c>
      <c r="M83" s="234">
        <f t="shared" si="17"/>
        <v>0</v>
      </c>
      <c r="N83" s="234">
        <f t="shared" si="18"/>
        <v>17.167015799999998</v>
      </c>
      <c r="O83" s="234">
        <f t="shared" si="19"/>
        <v>0</v>
      </c>
    </row>
    <row r="84" spans="1:15" s="120" customFormat="1" ht="26.25" thickBot="1">
      <c r="A84" s="1149"/>
      <c r="B84" s="788"/>
      <c r="C84" s="651" t="s">
        <v>256</v>
      </c>
      <c r="D84" s="298" t="s">
        <v>3875</v>
      </c>
      <c r="E84" s="491">
        <v>690.15</v>
      </c>
      <c r="F84" s="233">
        <f t="shared" si="10"/>
        <v>414.09</v>
      </c>
      <c r="G84" s="235">
        <f t="shared" si="11"/>
        <v>0</v>
      </c>
      <c r="H84" s="234">
        <f t="shared" si="12"/>
        <v>34.990605000000002</v>
      </c>
      <c r="I84" s="234">
        <f t="shared" si="13"/>
        <v>0</v>
      </c>
      <c r="J84" s="234">
        <f t="shared" si="14"/>
        <v>13.250879999999999</v>
      </c>
      <c r="K84" s="234">
        <f t="shared" si="15"/>
        <v>0</v>
      </c>
      <c r="L84" s="234">
        <f t="shared" si="16"/>
        <v>10.890566999999999</v>
      </c>
      <c r="M84" s="234">
        <f t="shared" si="17"/>
        <v>0</v>
      </c>
      <c r="N84" s="234">
        <f t="shared" si="18"/>
        <v>9.0685709999999986</v>
      </c>
      <c r="O84" s="234">
        <f t="shared" si="19"/>
        <v>0</v>
      </c>
    </row>
    <row r="85" spans="1:15" s="120" customFormat="1" ht="26.25" thickBot="1">
      <c r="A85" s="1149"/>
      <c r="B85" s="788"/>
      <c r="C85" s="651" t="s">
        <v>368</v>
      </c>
      <c r="D85" s="298" t="s">
        <v>434</v>
      </c>
      <c r="E85" s="491">
        <v>1000.45</v>
      </c>
      <c r="F85" s="233">
        <f t="shared" si="10"/>
        <v>600.27</v>
      </c>
      <c r="G85" s="235">
        <f t="shared" si="11"/>
        <v>0</v>
      </c>
      <c r="H85" s="234">
        <f t="shared" si="12"/>
        <v>50.722815000000004</v>
      </c>
      <c r="I85" s="234">
        <f t="shared" si="13"/>
        <v>0</v>
      </c>
      <c r="J85" s="234">
        <f t="shared" si="14"/>
        <v>19.208639999999999</v>
      </c>
      <c r="K85" s="234">
        <f t="shared" si="15"/>
        <v>0</v>
      </c>
      <c r="L85" s="234">
        <f t="shared" si="16"/>
        <v>15.787101</v>
      </c>
      <c r="M85" s="234">
        <f t="shared" si="17"/>
        <v>0</v>
      </c>
      <c r="N85" s="234">
        <f t="shared" si="18"/>
        <v>13.145912999999998</v>
      </c>
      <c r="O85" s="234">
        <f t="shared" si="19"/>
        <v>0</v>
      </c>
    </row>
    <row r="86" spans="1:15" s="120" customFormat="1" ht="13.5" thickBot="1">
      <c r="A86" s="1149"/>
      <c r="B86" s="788"/>
      <c r="C86" s="297" t="s">
        <v>257</v>
      </c>
      <c r="D86" s="298" t="s">
        <v>435</v>
      </c>
      <c r="E86" s="491">
        <v>1348</v>
      </c>
      <c r="F86" s="25">
        <f t="shared" si="10"/>
        <v>808.8</v>
      </c>
      <c r="G86" s="27">
        <f t="shared" si="11"/>
        <v>0</v>
      </c>
      <c r="H86" s="26">
        <f t="shared" si="12"/>
        <v>68.343599999999995</v>
      </c>
      <c r="I86" s="26">
        <f t="shared" si="13"/>
        <v>0</v>
      </c>
      <c r="J86" s="26">
        <f t="shared" si="14"/>
        <v>25.881599999999999</v>
      </c>
      <c r="K86" s="26">
        <f t="shared" si="15"/>
        <v>0</v>
      </c>
      <c r="L86" s="26">
        <f t="shared" si="16"/>
        <v>21.271439999999998</v>
      </c>
      <c r="M86" s="26">
        <f t="shared" si="17"/>
        <v>0</v>
      </c>
      <c r="N86" s="26">
        <f t="shared" si="18"/>
        <v>17.712719999999997</v>
      </c>
      <c r="O86" s="26">
        <f t="shared" si="19"/>
        <v>0</v>
      </c>
    </row>
    <row r="87" spans="1:15" s="120" customFormat="1" ht="13.5" thickBot="1">
      <c r="A87" s="1149"/>
      <c r="B87" s="788"/>
      <c r="C87" s="297" t="s">
        <v>258</v>
      </c>
      <c r="D87" s="298" t="s">
        <v>223</v>
      </c>
      <c r="E87" s="491">
        <v>56.71</v>
      </c>
      <c r="F87" s="25">
        <f t="shared" si="10"/>
        <v>34.025999999999996</v>
      </c>
      <c r="G87" s="27">
        <f t="shared" si="11"/>
        <v>0</v>
      </c>
      <c r="H87" s="26">
        <f t="shared" si="12"/>
        <v>2.875197</v>
      </c>
      <c r="I87" s="26">
        <f t="shared" si="13"/>
        <v>0</v>
      </c>
      <c r="J87" s="26">
        <f t="shared" si="14"/>
        <v>1.0888319999999998</v>
      </c>
      <c r="K87" s="26">
        <f t="shared" si="15"/>
        <v>0</v>
      </c>
      <c r="L87" s="26">
        <f t="shared" si="16"/>
        <v>0.8948837999999999</v>
      </c>
      <c r="M87" s="26">
        <f t="shared" si="17"/>
        <v>0</v>
      </c>
      <c r="N87" s="26">
        <f t="shared" si="18"/>
        <v>0.74516939999999987</v>
      </c>
      <c r="O87" s="26">
        <f t="shared" si="19"/>
        <v>0</v>
      </c>
    </row>
    <row r="88" spans="1:15" s="120" customFormat="1" ht="13.5" thickBot="1">
      <c r="A88" s="1149"/>
      <c r="B88" s="788"/>
      <c r="C88" s="297" t="s">
        <v>259</v>
      </c>
      <c r="D88" s="298" t="s">
        <v>436</v>
      </c>
      <c r="E88" s="491">
        <v>32.1</v>
      </c>
      <c r="F88" s="233">
        <f t="shared" si="10"/>
        <v>19.260000000000002</v>
      </c>
      <c r="G88" s="235">
        <f t="shared" si="11"/>
        <v>0</v>
      </c>
      <c r="H88" s="234">
        <f t="shared" si="12"/>
        <v>1.6274700000000002</v>
      </c>
      <c r="I88" s="234">
        <f t="shared" si="13"/>
        <v>0</v>
      </c>
      <c r="J88" s="234">
        <f t="shared" si="14"/>
        <v>0.61632000000000009</v>
      </c>
      <c r="K88" s="234">
        <f t="shared" si="15"/>
        <v>0</v>
      </c>
      <c r="L88" s="234">
        <f t="shared" si="16"/>
        <v>0.50653800000000004</v>
      </c>
      <c r="M88" s="234">
        <f t="shared" si="17"/>
        <v>0</v>
      </c>
      <c r="N88" s="234">
        <f t="shared" si="18"/>
        <v>0.421794</v>
      </c>
      <c r="O88" s="234">
        <f t="shared" si="19"/>
        <v>0</v>
      </c>
    </row>
    <row r="89" spans="1:15" s="120" customFormat="1" ht="13.5" thickBot="1">
      <c r="A89" s="1149"/>
      <c r="B89" s="788"/>
      <c r="C89" s="297" t="s">
        <v>527</v>
      </c>
      <c r="D89" s="298" t="s">
        <v>224</v>
      </c>
      <c r="E89" s="491">
        <v>35.31</v>
      </c>
      <c r="F89" s="233">
        <f t="shared" si="10"/>
        <v>21.186</v>
      </c>
      <c r="G89" s="235">
        <f t="shared" si="11"/>
        <v>0</v>
      </c>
      <c r="H89" s="234">
        <f t="shared" si="12"/>
        <v>1.7902170000000002</v>
      </c>
      <c r="I89" s="234">
        <f t="shared" si="13"/>
        <v>0</v>
      </c>
      <c r="J89" s="234">
        <f t="shared" si="14"/>
        <v>0.677952</v>
      </c>
      <c r="K89" s="234">
        <f t="shared" si="15"/>
        <v>0</v>
      </c>
      <c r="L89" s="234">
        <f t="shared" si="16"/>
        <v>0.55719180000000001</v>
      </c>
      <c r="M89" s="234">
        <f t="shared" si="17"/>
        <v>0</v>
      </c>
      <c r="N89" s="234">
        <f t="shared" si="18"/>
        <v>0.46397339999999998</v>
      </c>
      <c r="O89" s="234">
        <f t="shared" si="19"/>
        <v>0</v>
      </c>
    </row>
    <row r="90" spans="1:15" s="120" customFormat="1" ht="13.5" thickBot="1">
      <c r="A90" s="1149"/>
      <c r="B90" s="788"/>
      <c r="C90" s="565" t="s">
        <v>530</v>
      </c>
      <c r="D90" s="658" t="s">
        <v>3926</v>
      </c>
      <c r="E90" s="491">
        <v>306.02</v>
      </c>
      <c r="F90" s="233">
        <f t="shared" si="10"/>
        <v>183.61199999999999</v>
      </c>
      <c r="G90" s="235">
        <f t="shared" si="11"/>
        <v>0</v>
      </c>
      <c r="H90" s="234">
        <f t="shared" si="12"/>
        <v>15.515214</v>
      </c>
      <c r="I90" s="234">
        <f t="shared" si="13"/>
        <v>0</v>
      </c>
      <c r="J90" s="234">
        <f t="shared" si="14"/>
        <v>5.8755839999999999</v>
      </c>
      <c r="K90" s="234">
        <f t="shared" si="15"/>
        <v>0</v>
      </c>
      <c r="L90" s="234">
        <f t="shared" si="16"/>
        <v>4.8289955999999998</v>
      </c>
      <c r="M90" s="234">
        <f t="shared" si="17"/>
        <v>0</v>
      </c>
      <c r="N90" s="234">
        <f t="shared" si="18"/>
        <v>4.0211027999999995</v>
      </c>
      <c r="O90" s="234">
        <f t="shared" si="19"/>
        <v>0</v>
      </c>
    </row>
    <row r="91" spans="1:15" s="120" customFormat="1" ht="13.5" thickBot="1">
      <c r="A91" s="1149"/>
      <c r="B91" s="788"/>
      <c r="C91" s="651" t="s">
        <v>3880</v>
      </c>
      <c r="D91" s="298" t="s">
        <v>225</v>
      </c>
      <c r="E91" s="491">
        <v>132.68</v>
      </c>
      <c r="F91" s="233">
        <f t="shared" si="10"/>
        <v>79.608000000000004</v>
      </c>
      <c r="G91" s="235">
        <f t="shared" si="11"/>
        <v>0</v>
      </c>
      <c r="H91" s="234">
        <f t="shared" si="12"/>
        <v>6.7268760000000007</v>
      </c>
      <c r="I91" s="234">
        <f t="shared" si="13"/>
        <v>0</v>
      </c>
      <c r="J91" s="234">
        <f t="shared" si="14"/>
        <v>2.5474560000000004</v>
      </c>
      <c r="K91" s="234">
        <f t="shared" si="15"/>
        <v>0</v>
      </c>
      <c r="L91" s="234">
        <f t="shared" si="16"/>
        <v>2.0936904000000003</v>
      </c>
      <c r="M91" s="234">
        <f t="shared" si="17"/>
        <v>0</v>
      </c>
      <c r="N91" s="234">
        <f t="shared" si="18"/>
        <v>1.7434152000000001</v>
      </c>
      <c r="O91" s="234">
        <f t="shared" si="19"/>
        <v>0</v>
      </c>
    </row>
    <row r="92" spans="1:15" s="128" customFormat="1" ht="13.5" thickBot="1">
      <c r="A92" s="1209"/>
      <c r="B92" s="788"/>
      <c r="C92" s="297" t="s">
        <v>369</v>
      </c>
      <c r="D92" s="298" t="s">
        <v>3913</v>
      </c>
      <c r="E92" s="491">
        <v>5896.77</v>
      </c>
      <c r="F92" s="233">
        <f t="shared" si="10"/>
        <v>3538.0620000000004</v>
      </c>
      <c r="G92" s="235">
        <f t="shared" si="11"/>
        <v>0</v>
      </c>
      <c r="H92" s="234">
        <f t="shared" si="12"/>
        <v>298.96623900000003</v>
      </c>
      <c r="I92" s="234">
        <f t="shared" si="13"/>
        <v>0</v>
      </c>
      <c r="J92" s="234">
        <f t="shared" si="14"/>
        <v>113.21798400000002</v>
      </c>
      <c r="K92" s="234">
        <f t="shared" si="15"/>
        <v>0</v>
      </c>
      <c r="L92" s="234">
        <f t="shared" si="16"/>
        <v>93.051030600000004</v>
      </c>
      <c r="M92" s="234">
        <f t="shared" si="17"/>
        <v>0</v>
      </c>
      <c r="N92" s="234">
        <f t="shared" si="18"/>
        <v>77.4835578</v>
      </c>
      <c r="O92" s="234">
        <f t="shared" si="19"/>
        <v>0</v>
      </c>
    </row>
    <row r="93" spans="1:15" s="128" customFormat="1" ht="15">
      <c r="C93" s="236"/>
      <c r="D93" s="979" t="s">
        <v>65</v>
      </c>
      <c r="E93" s="972"/>
      <c r="F93" s="1210"/>
      <c r="G93" s="237">
        <f t="array" ref="G93">SUM(G48:G92)+G39:G48:G92+G42:G48:G92+G45</f>
        <v>0</v>
      </c>
      <c r="H93" s="112" t="s">
        <v>66</v>
      </c>
      <c r="I93" s="237">
        <f t="array" ref="I93">SUM(I48:I92)+I39:I48:I92+I42:I48:I92+I45</f>
        <v>0</v>
      </c>
      <c r="J93" s="112" t="s">
        <v>67</v>
      </c>
      <c r="K93" s="237">
        <f t="array" ref="K93">SUM(K48:K92)+K39:K48:K92+K42:K48:K92+K45</f>
        <v>0</v>
      </c>
      <c r="L93" s="112" t="s">
        <v>68</v>
      </c>
      <c r="M93" s="237">
        <f t="array" ref="M93">SUM(M48:M92)+M39:M48:M92+M42:M48:M92+M45</f>
        <v>0</v>
      </c>
      <c r="N93" s="112" t="s">
        <v>69</v>
      </c>
      <c r="O93" s="237">
        <f t="array" ref="O93">SUM(O48:O92)+O39:O48:O92+O42:O48:O92+O45</f>
        <v>0</v>
      </c>
    </row>
    <row r="94" spans="1:15" s="128" customFormat="1" ht="14.25">
      <c r="C94" s="238"/>
      <c r="F94" s="135"/>
    </row>
    <row r="108" spans="3:6">
      <c r="C108" s="240"/>
    </row>
    <row r="109" spans="3:6">
      <c r="C109" s="73"/>
      <c r="F109" s="73"/>
    </row>
    <row r="110" spans="3:6">
      <c r="C110" s="73"/>
      <c r="F110" s="73"/>
    </row>
    <row r="111" spans="3:6">
      <c r="C111" s="73"/>
      <c r="F111" s="73"/>
    </row>
    <row r="112" spans="3:6">
      <c r="C112" s="73"/>
      <c r="F112" s="73"/>
    </row>
    <row r="113" s="73" customFormat="1"/>
    <row r="114" s="73" customFormat="1"/>
    <row r="115" s="73" customFormat="1"/>
    <row r="116" s="73" customFormat="1"/>
    <row r="117" s="73" customFormat="1"/>
    <row r="118" s="73" customFormat="1"/>
  </sheetData>
  <mergeCells count="55">
    <mergeCell ref="A27:D27"/>
    <mergeCell ref="E27:J27"/>
    <mergeCell ref="K27:O27"/>
    <mergeCell ref="A4:O4"/>
    <mergeCell ref="A5:O5"/>
    <mergeCell ref="H8:J8"/>
    <mergeCell ref="D23:D24"/>
    <mergeCell ref="A26:O26"/>
    <mergeCell ref="A29:C29"/>
    <mergeCell ref="E29:H29"/>
    <mergeCell ref="I29:J29"/>
    <mergeCell ref="K29:M29"/>
    <mergeCell ref="N29:O29"/>
    <mergeCell ref="A28:C28"/>
    <mergeCell ref="E28:H28"/>
    <mergeCell ref="I28:J28"/>
    <mergeCell ref="K28:M28"/>
    <mergeCell ref="N28:O28"/>
    <mergeCell ref="A31:C31"/>
    <mergeCell ref="E31:H31"/>
    <mergeCell ref="I31:J31"/>
    <mergeCell ref="K31:M31"/>
    <mergeCell ref="N31:O31"/>
    <mergeCell ref="A30:C30"/>
    <mergeCell ref="E30:H30"/>
    <mergeCell ref="I30:J30"/>
    <mergeCell ref="K30:M30"/>
    <mergeCell ref="N30:O30"/>
    <mergeCell ref="M42:M43"/>
    <mergeCell ref="I33:K35"/>
    <mergeCell ref="F37:G37"/>
    <mergeCell ref="H37:O37"/>
    <mergeCell ref="A39:A40"/>
    <mergeCell ref="B39:B40"/>
    <mergeCell ref="G39:G40"/>
    <mergeCell ref="I39:I40"/>
    <mergeCell ref="K39:K40"/>
    <mergeCell ref="M39:M40"/>
    <mergeCell ref="O39:O40"/>
    <mergeCell ref="A47:O47"/>
    <mergeCell ref="A48:A92"/>
    <mergeCell ref="D93:F93"/>
    <mergeCell ref="O42:O43"/>
    <mergeCell ref="A45:A46"/>
    <mergeCell ref="B45:B46"/>
    <mergeCell ref="G45:G46"/>
    <mergeCell ref="I45:I46"/>
    <mergeCell ref="K45:K46"/>
    <mergeCell ref="M45:M46"/>
    <mergeCell ref="O45:O46"/>
    <mergeCell ref="A42:A43"/>
    <mergeCell ref="B42:B43"/>
    <mergeCell ref="G42:G43"/>
    <mergeCell ref="I42:I43"/>
    <mergeCell ref="K42:K43"/>
  </mergeCells>
  <phoneticPr fontId="102"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62"/>
  </sheetPr>
  <dimension ref="A1:Q62"/>
  <sheetViews>
    <sheetView zoomScale="80" zoomScaleNormal="80" workbookViewId="0">
      <selection activeCell="A5" sqref="A5:O5"/>
    </sheetView>
  </sheetViews>
  <sheetFormatPr defaultColWidth="8.85546875" defaultRowHeight="12.75"/>
  <cols>
    <col min="1" max="1" width="15.28515625" style="73" customWidth="1"/>
    <col min="2" max="2" width="9.140625" style="73" customWidth="1"/>
    <col min="3" max="3" width="14" style="73" customWidth="1"/>
    <col min="4" max="4" width="33.140625" style="73" customWidth="1"/>
    <col min="5" max="5" width="15.7109375" style="73" customWidth="1"/>
    <col min="6" max="6" width="18.28515625" style="130" customWidth="1"/>
    <col min="7" max="7" width="23.140625" style="130" customWidth="1"/>
    <col min="8" max="8" width="24" style="73" customWidth="1"/>
    <col min="9" max="9" width="20.85546875" style="73" customWidth="1"/>
    <col min="10" max="10" width="23" style="73" customWidth="1"/>
    <col min="11" max="11" width="20.42578125" style="73" customWidth="1"/>
    <col min="12" max="12" width="23.28515625" style="73" customWidth="1"/>
    <col min="13" max="13" width="20.85546875" style="73" customWidth="1"/>
    <col min="14" max="14" width="23.5703125" style="73" customWidth="1"/>
    <col min="15" max="15" width="20.85546875" style="73" customWidth="1"/>
    <col min="16" max="16" width="10" style="73" customWidth="1"/>
    <col min="17" max="16384" width="8.85546875" style="73"/>
  </cols>
  <sheetData>
    <row r="1" spans="1:17" ht="13.5" thickBot="1">
      <c r="B1" s="74"/>
      <c r="C1" s="74"/>
      <c r="D1" s="75"/>
      <c r="E1" s="75"/>
      <c r="F1" s="76"/>
      <c r="G1" s="76"/>
      <c r="H1" s="76"/>
      <c r="I1" s="76"/>
      <c r="J1" s="76"/>
      <c r="K1" s="76"/>
      <c r="L1" s="76"/>
    </row>
    <row r="2" spans="1:17" ht="9" customHeight="1">
      <c r="A2" s="77"/>
      <c r="B2" s="78"/>
      <c r="C2" s="78"/>
      <c r="D2" s="79"/>
      <c r="E2" s="79"/>
      <c r="F2" s="80"/>
      <c r="G2" s="80"/>
      <c r="H2" s="80"/>
      <c r="I2" s="81"/>
      <c r="J2" s="81"/>
      <c r="K2" s="81"/>
      <c r="L2" s="81"/>
      <c r="M2" s="77"/>
      <c r="N2" s="77"/>
      <c r="O2" s="77"/>
    </row>
    <row r="3" spans="1:17" ht="10.5" customHeight="1">
      <c r="B3" s="74"/>
      <c r="C3" s="74"/>
      <c r="D3" s="75"/>
      <c r="E3" s="75"/>
      <c r="F3" s="76"/>
      <c r="G3" s="76"/>
      <c r="H3" s="76"/>
      <c r="I3" s="82"/>
      <c r="J3" s="82"/>
      <c r="K3" s="82"/>
      <c r="L3" s="82"/>
    </row>
    <row r="4" spans="1:17" ht="30">
      <c r="A4" s="995" t="s">
        <v>4088</v>
      </c>
      <c r="B4" s="964"/>
      <c r="C4" s="964"/>
      <c r="D4" s="964"/>
      <c r="E4" s="964"/>
      <c r="F4" s="964"/>
      <c r="G4" s="964"/>
      <c r="H4" s="964"/>
      <c r="I4" s="964"/>
      <c r="J4" s="964"/>
      <c r="K4" s="964"/>
      <c r="L4" s="964"/>
      <c r="M4" s="964"/>
      <c r="N4" s="964"/>
      <c r="O4" s="964"/>
    </row>
    <row r="5" spans="1:17" s="83" customFormat="1" ht="38.25" customHeight="1">
      <c r="A5" s="996" t="s">
        <v>4089</v>
      </c>
      <c r="B5" s="997"/>
      <c r="C5" s="997"/>
      <c r="D5" s="997"/>
      <c r="E5" s="997"/>
      <c r="F5" s="997"/>
      <c r="G5" s="997"/>
      <c r="H5" s="997"/>
      <c r="I5" s="997"/>
      <c r="J5" s="997"/>
      <c r="K5" s="997"/>
      <c r="L5" s="997"/>
      <c r="M5" s="997"/>
      <c r="N5" s="997"/>
      <c r="O5" s="997"/>
    </row>
    <row r="6" spans="1:17" ht="9" customHeight="1" thickBot="1">
      <c r="A6" s="950" t="s">
        <v>537</v>
      </c>
      <c r="B6" s="85"/>
      <c r="C6" s="85"/>
      <c r="D6" s="86"/>
      <c r="E6" s="86"/>
      <c r="F6" s="87"/>
      <c r="G6" s="87"/>
      <c r="H6" s="87"/>
      <c r="I6" s="88"/>
      <c r="J6" s="88"/>
      <c r="K6" s="88"/>
      <c r="L6" s="88"/>
      <c r="M6" s="84"/>
      <c r="N6" s="84"/>
      <c r="O6" s="84"/>
    </row>
    <row r="9" spans="1:17" s="82" customFormat="1" ht="14.25">
      <c r="B9" s="89"/>
      <c r="C9" s="89"/>
      <c r="D9" s="90"/>
      <c r="E9" s="90"/>
      <c r="F9" s="90"/>
      <c r="G9" s="90"/>
      <c r="H9" s="90"/>
      <c r="I9" s="90"/>
      <c r="J9" s="90"/>
      <c r="K9" s="90"/>
      <c r="L9" s="90"/>
    </row>
    <row r="10" spans="1:17" s="82" customFormat="1" ht="14.25">
      <c r="F10" s="994" t="s">
        <v>0</v>
      </c>
      <c r="G10" s="994"/>
      <c r="H10" s="994"/>
      <c r="I10" s="994"/>
    </row>
    <row r="11" spans="1:17" s="82" customFormat="1" ht="14.25">
      <c r="G11" s="91" t="s">
        <v>1</v>
      </c>
      <c r="H11" s="82" t="s">
        <v>2</v>
      </c>
    </row>
    <row r="12" spans="1:17" s="82" customFormat="1">
      <c r="G12" s="92" t="s">
        <v>3</v>
      </c>
      <c r="H12" s="93" t="s">
        <v>4</v>
      </c>
      <c r="I12" s="93"/>
      <c r="K12" s="93"/>
    </row>
    <row r="13" spans="1:17" s="82" customFormat="1" ht="14.25">
      <c r="F13" s="94"/>
      <c r="G13" s="95" t="s">
        <v>5</v>
      </c>
      <c r="H13" s="96" t="s">
        <v>6</v>
      </c>
      <c r="I13" s="96"/>
      <c r="K13" s="96"/>
      <c r="L13" s="97"/>
      <c r="M13" s="73"/>
      <c r="N13" s="73"/>
      <c r="O13" s="73"/>
      <c r="P13" s="73"/>
      <c r="Q13" s="73"/>
    </row>
    <row r="14" spans="1:17" s="82" customFormat="1">
      <c r="F14" s="94"/>
      <c r="G14" s="92" t="s">
        <v>7</v>
      </c>
      <c r="H14" s="98">
        <v>120000</v>
      </c>
      <c r="I14" s="98"/>
      <c r="K14" s="98"/>
      <c r="L14" s="99"/>
      <c r="M14" s="73"/>
      <c r="N14" s="73"/>
      <c r="O14" s="73"/>
      <c r="Q14" s="73"/>
    </row>
    <row r="15" spans="1:17" s="82" customFormat="1">
      <c r="F15" s="94"/>
      <c r="G15" s="92" t="s">
        <v>8</v>
      </c>
      <c r="H15" s="82" t="s">
        <v>70</v>
      </c>
      <c r="L15" s="99"/>
      <c r="M15" s="73"/>
      <c r="N15" s="73"/>
      <c r="O15" s="73"/>
      <c r="P15" s="100"/>
      <c r="Q15" s="73"/>
    </row>
    <row r="16" spans="1:17" s="82" customFormat="1" ht="14.25">
      <c r="A16" s="97"/>
      <c r="B16" s="73"/>
      <c r="C16" s="73"/>
      <c r="D16" s="73"/>
      <c r="E16" s="73"/>
      <c r="F16" s="73"/>
      <c r="G16" s="92" t="s">
        <v>10</v>
      </c>
      <c r="H16" s="82" t="s">
        <v>11</v>
      </c>
      <c r="L16" s="99"/>
      <c r="M16" s="73"/>
      <c r="N16" s="73"/>
      <c r="O16" s="73"/>
    </row>
    <row r="17" spans="1:15" s="82" customFormat="1">
      <c r="A17" s="99"/>
      <c r="B17" s="73"/>
      <c r="C17" s="73"/>
      <c r="E17" s="73"/>
      <c r="F17" s="73"/>
      <c r="G17" s="92" t="s">
        <v>12</v>
      </c>
      <c r="H17" s="82" t="s">
        <v>71</v>
      </c>
      <c r="L17" s="99"/>
      <c r="M17" s="73"/>
      <c r="N17" s="73"/>
      <c r="O17" s="73"/>
    </row>
    <row r="18" spans="1:15" s="82" customFormat="1">
      <c r="A18" s="99"/>
      <c r="B18" s="73"/>
      <c r="C18" s="73"/>
      <c r="D18" s="101"/>
      <c r="E18" s="102"/>
      <c r="F18" s="102"/>
      <c r="G18" s="92" t="s">
        <v>14</v>
      </c>
      <c r="H18" s="82" t="s">
        <v>15</v>
      </c>
    </row>
    <row r="19" spans="1:15" s="82" customFormat="1">
      <c r="F19" s="94"/>
      <c r="G19" s="92" t="s">
        <v>16</v>
      </c>
      <c r="H19" s="82" t="s">
        <v>17</v>
      </c>
    </row>
    <row r="20" spans="1:15" s="82" customFormat="1">
      <c r="F20" s="94"/>
      <c r="G20" s="92" t="s">
        <v>18</v>
      </c>
      <c r="H20" s="82" t="s">
        <v>19</v>
      </c>
    </row>
    <row r="21" spans="1:15" s="82" customFormat="1">
      <c r="F21" s="94"/>
      <c r="G21" s="92" t="s">
        <v>20</v>
      </c>
      <c r="H21" s="93" t="s">
        <v>72</v>
      </c>
      <c r="I21" s="93"/>
    </row>
    <row r="22" spans="1:15" s="82" customFormat="1" ht="14.25">
      <c r="C22" s="103"/>
      <c r="F22" s="104"/>
      <c r="G22" s="92" t="s">
        <v>22</v>
      </c>
      <c r="H22" s="82" t="s">
        <v>73</v>
      </c>
      <c r="K22" s="93"/>
    </row>
    <row r="23" spans="1:15" s="82" customFormat="1" ht="15.75" customHeight="1">
      <c r="D23" s="105"/>
      <c r="E23" s="105"/>
      <c r="F23" s="104"/>
      <c r="G23" s="92" t="s">
        <v>24</v>
      </c>
      <c r="H23" s="82" t="s">
        <v>74</v>
      </c>
    </row>
    <row r="24" spans="1:15" s="82" customFormat="1" ht="12.75" customHeight="1">
      <c r="D24" s="105"/>
      <c r="E24" s="105"/>
      <c r="F24" s="104"/>
      <c r="G24" s="92" t="s">
        <v>26</v>
      </c>
      <c r="H24" s="82" t="s">
        <v>75</v>
      </c>
    </row>
    <row r="25" spans="1:15" s="82" customFormat="1" ht="12.75" customHeight="1">
      <c r="D25" s="105"/>
      <c r="E25" s="105"/>
      <c r="F25" s="104"/>
      <c r="G25" s="92" t="s">
        <v>28</v>
      </c>
      <c r="H25" s="82" t="s">
        <v>76</v>
      </c>
    </row>
    <row r="26" spans="1:15" s="82" customFormat="1" ht="12.75" customHeight="1">
      <c r="D26" s="105"/>
      <c r="E26" s="105"/>
      <c r="F26" s="993"/>
      <c r="G26" s="964"/>
    </row>
    <row r="27" spans="1:15" s="82" customFormat="1" ht="14.25">
      <c r="A27" s="998" t="s">
        <v>30</v>
      </c>
      <c r="B27" s="964"/>
      <c r="C27" s="964"/>
      <c r="D27" s="964"/>
      <c r="E27" s="964"/>
      <c r="F27" s="964"/>
      <c r="G27" s="964"/>
      <c r="H27" s="964"/>
      <c r="I27" s="964"/>
      <c r="J27" s="964"/>
      <c r="K27" s="964"/>
      <c r="L27" s="964"/>
      <c r="M27" s="964"/>
      <c r="N27" s="964"/>
      <c r="O27" s="965"/>
    </row>
    <row r="28" spans="1:15" s="82" customFormat="1" ht="14.25">
      <c r="A28" s="999" t="s">
        <v>31</v>
      </c>
      <c r="B28" s="964"/>
      <c r="C28" s="964"/>
      <c r="D28" s="964"/>
      <c r="E28" s="964"/>
      <c r="F28" s="964"/>
      <c r="G28" s="964"/>
      <c r="H28" s="965"/>
      <c r="I28" s="1000" t="s">
        <v>32</v>
      </c>
      <c r="J28" s="964"/>
      <c r="K28" s="964"/>
      <c r="L28" s="964"/>
      <c r="M28" s="964"/>
      <c r="N28" s="964"/>
      <c r="O28" s="965"/>
    </row>
    <row r="29" spans="1:15" s="82" customFormat="1" ht="12.75" customHeight="1">
      <c r="A29" s="970" t="s">
        <v>33</v>
      </c>
      <c r="B29" s="964"/>
      <c r="C29" s="964"/>
      <c r="D29" s="964"/>
      <c r="E29" s="964" t="s">
        <v>34</v>
      </c>
      <c r="F29" s="964"/>
      <c r="G29" s="964"/>
      <c r="H29" s="106"/>
      <c r="I29" s="970" t="s">
        <v>33</v>
      </c>
      <c r="J29" s="964"/>
      <c r="K29" s="964"/>
      <c r="L29" s="964"/>
      <c r="M29" s="964" t="s">
        <v>35</v>
      </c>
      <c r="N29" s="964"/>
      <c r="O29" s="965"/>
    </row>
    <row r="30" spans="1:15" s="82" customFormat="1" ht="12.75" customHeight="1">
      <c r="A30" s="970" t="s">
        <v>36</v>
      </c>
      <c r="B30" s="964"/>
      <c r="C30" s="964"/>
      <c r="D30" s="964"/>
      <c r="E30" s="966">
        <v>0</v>
      </c>
      <c r="F30" s="966"/>
      <c r="G30" s="966"/>
      <c r="H30" s="106"/>
      <c r="I30" s="970" t="s">
        <v>36</v>
      </c>
      <c r="J30" s="964"/>
      <c r="K30" s="964"/>
      <c r="L30" s="964"/>
      <c r="M30" s="966">
        <v>120</v>
      </c>
      <c r="N30" s="966"/>
      <c r="O30" s="967"/>
    </row>
    <row r="31" spans="1:15" s="82" customFormat="1" ht="12.75" customHeight="1">
      <c r="A31" s="970" t="s">
        <v>37</v>
      </c>
      <c r="B31" s="964"/>
      <c r="C31" s="964"/>
      <c r="D31" s="964"/>
      <c r="E31" s="964" t="s">
        <v>38</v>
      </c>
      <c r="F31" s="964"/>
      <c r="G31" s="964"/>
      <c r="H31" s="106"/>
      <c r="I31" s="970" t="s">
        <v>37</v>
      </c>
      <c r="J31" s="964"/>
      <c r="K31" s="964"/>
      <c r="L31" s="964"/>
      <c r="M31" s="973" t="s">
        <v>39</v>
      </c>
      <c r="N31" s="964"/>
      <c r="O31" s="965"/>
    </row>
    <row r="32" spans="1:15" s="82" customFormat="1" ht="12.75" customHeight="1" thickBot="1">
      <c r="A32" s="968" t="s">
        <v>40</v>
      </c>
      <c r="B32" s="969"/>
      <c r="C32" s="969"/>
      <c r="D32" s="969"/>
      <c r="E32" s="974" t="s">
        <v>41</v>
      </c>
      <c r="F32" s="969"/>
      <c r="G32" s="969"/>
      <c r="H32" s="108"/>
      <c r="I32" s="968" t="s">
        <v>40</v>
      </c>
      <c r="J32" s="969"/>
      <c r="K32" s="969"/>
      <c r="L32" s="969"/>
      <c r="M32" s="974" t="s">
        <v>42</v>
      </c>
      <c r="N32" s="969"/>
      <c r="O32" s="975"/>
    </row>
    <row r="33" spans="1:16" s="82" customFormat="1" ht="12.75" customHeight="1">
      <c r="B33" s="109"/>
      <c r="C33" s="109"/>
      <c r="D33" s="105"/>
      <c r="E33" s="105"/>
      <c r="F33" s="105"/>
      <c r="G33" s="105"/>
      <c r="H33" s="105"/>
      <c r="I33" s="105"/>
      <c r="J33" s="104"/>
      <c r="K33" s="104"/>
      <c r="L33" s="110"/>
      <c r="M33" s="111"/>
      <c r="N33" s="111"/>
    </row>
    <row r="34" spans="1:16" s="82" customFormat="1" ht="12.75" customHeight="1">
      <c r="D34" s="105"/>
      <c r="E34" s="105"/>
      <c r="F34" s="112"/>
      <c r="G34" s="73"/>
      <c r="H34" s="73"/>
      <c r="I34" s="73"/>
      <c r="J34" s="73"/>
      <c r="K34" s="113"/>
      <c r="L34" s="113"/>
      <c r="M34" s="92"/>
    </row>
    <row r="35" spans="1:16" s="82" customFormat="1" ht="12.75" customHeight="1">
      <c r="D35" s="105"/>
      <c r="E35" s="105"/>
      <c r="F35" s="112"/>
      <c r="G35" s="73"/>
      <c r="H35" s="73"/>
      <c r="I35" s="73"/>
      <c r="J35" s="73"/>
      <c r="K35" s="114"/>
      <c r="L35" s="114"/>
      <c r="M35" s="92"/>
    </row>
    <row r="36" spans="1:16" s="82" customFormat="1" ht="18" customHeight="1" thickBot="1">
      <c r="C36" s="105"/>
      <c r="D36" s="104"/>
      <c r="E36" s="115"/>
      <c r="F36" s="73"/>
      <c r="G36" s="971"/>
      <c r="H36" s="972"/>
      <c r="I36" s="118"/>
      <c r="J36" s="119"/>
    </row>
    <row r="37" spans="1:16" s="82" customFormat="1" ht="15.75" customHeight="1" thickBot="1">
      <c r="F37" s="986" t="s">
        <v>43</v>
      </c>
      <c r="G37" s="987"/>
      <c r="H37" s="991" t="s">
        <v>44</v>
      </c>
      <c r="I37" s="992"/>
      <c r="J37" s="992"/>
      <c r="K37" s="982"/>
      <c r="L37" s="982"/>
      <c r="M37" s="982"/>
      <c r="N37" s="982"/>
      <c r="O37" s="983"/>
    </row>
    <row r="38" spans="1:16" s="120" customFormat="1" ht="54" customHeight="1" thickBot="1">
      <c r="A38" s="55" t="s">
        <v>45</v>
      </c>
      <c r="B38" s="55" t="s">
        <v>46</v>
      </c>
      <c r="C38" s="56" t="s">
        <v>47</v>
      </c>
      <c r="D38" s="56" t="s">
        <v>48</v>
      </c>
      <c r="E38" s="56" t="s">
        <v>49</v>
      </c>
      <c r="F38" s="56" t="s">
        <v>50</v>
      </c>
      <c r="G38" s="55" t="s">
        <v>51</v>
      </c>
      <c r="H38" s="57" t="s">
        <v>52</v>
      </c>
      <c r="I38" s="58" t="s">
        <v>51</v>
      </c>
      <c r="J38" s="57" t="s">
        <v>53</v>
      </c>
      <c r="K38" s="58" t="s">
        <v>51</v>
      </c>
      <c r="L38" s="57" t="s">
        <v>54</v>
      </c>
      <c r="M38" s="58" t="s">
        <v>51</v>
      </c>
      <c r="N38" s="57" t="s">
        <v>55</v>
      </c>
      <c r="O38" s="58" t="s">
        <v>51</v>
      </c>
    </row>
    <row r="39" spans="1:16" s="124" customFormat="1" ht="30.75" customHeight="1" thickBot="1">
      <c r="A39" s="988">
        <v>7</v>
      </c>
      <c r="B39" s="988"/>
      <c r="C39" s="59" t="s">
        <v>4082</v>
      </c>
      <c r="D39" s="121" t="s">
        <v>4083</v>
      </c>
      <c r="E39" s="122">
        <v>2323.91</v>
      </c>
      <c r="F39" s="1">
        <f>SUM(E39:E40)*(1-20%)</f>
        <v>1919.1279999999999</v>
      </c>
      <c r="G39" s="976">
        <f>F39*B39</f>
        <v>0</v>
      </c>
      <c r="H39" s="976">
        <f>F39*0.0845</f>
        <v>162.16631599999999</v>
      </c>
      <c r="I39" s="976">
        <f>H39*B39</f>
        <v>0</v>
      </c>
      <c r="J39" s="976">
        <f>F39*0.032</f>
        <v>61.412095999999998</v>
      </c>
      <c r="K39" s="976">
        <f>J39*B39</f>
        <v>0</v>
      </c>
      <c r="L39" s="976">
        <f>F39*0.0263</f>
        <v>50.4730664</v>
      </c>
      <c r="M39" s="976">
        <f>L39*B39</f>
        <v>0</v>
      </c>
      <c r="N39" s="976">
        <f>F39*0.0219</f>
        <v>42.028903199999995</v>
      </c>
      <c r="O39" s="976">
        <f>N39*B39</f>
        <v>0</v>
      </c>
      <c r="P39" s="123"/>
    </row>
    <row r="40" spans="1:16" s="120" customFormat="1" ht="13.5" thickBot="1">
      <c r="A40" s="989"/>
      <c r="B40" s="990"/>
      <c r="C40" s="63" t="s">
        <v>56</v>
      </c>
      <c r="D40" s="64" t="s">
        <v>57</v>
      </c>
      <c r="E40" s="65">
        <v>75</v>
      </c>
      <c r="F40" s="748" t="s">
        <v>35</v>
      </c>
      <c r="G40" s="977"/>
      <c r="H40" s="978"/>
      <c r="I40" s="977"/>
      <c r="J40" s="978"/>
      <c r="K40" s="977"/>
      <c r="L40" s="978"/>
      <c r="M40" s="977"/>
      <c r="N40" s="978"/>
      <c r="O40" s="977"/>
    </row>
    <row r="41" spans="1:16" s="125" customFormat="1" ht="13.5" thickBot="1">
      <c r="A41" s="66"/>
      <c r="B41" s="67"/>
      <c r="C41" s="68"/>
      <c r="D41" s="69"/>
      <c r="E41" s="70"/>
      <c r="F41" s="749"/>
      <c r="G41" s="67"/>
      <c r="H41" s="750"/>
      <c r="I41" s="67"/>
      <c r="J41" s="750"/>
      <c r="K41" s="71"/>
      <c r="L41" s="750"/>
      <c r="M41" s="67"/>
      <c r="N41" s="750"/>
      <c r="O41" s="71"/>
    </row>
    <row r="42" spans="1:16" s="124" customFormat="1" ht="30.75" customHeight="1" thickBot="1">
      <c r="A42" s="988" t="s">
        <v>58</v>
      </c>
      <c r="B42" s="988"/>
      <c r="C42" s="59" t="s">
        <v>4082</v>
      </c>
      <c r="D42" s="121" t="s">
        <v>4083</v>
      </c>
      <c r="E42" s="122">
        <v>2323.91</v>
      </c>
      <c r="F42" s="1">
        <f>SUM(E42:E43)*(1-20%)</f>
        <v>1919.1279999999999</v>
      </c>
      <c r="G42" s="976">
        <f>F42*B42</f>
        <v>0</v>
      </c>
      <c r="H42" s="976">
        <f>F42*0.0845+M30/12</f>
        <v>172.16631599999999</v>
      </c>
      <c r="I42" s="976">
        <f>H42*B42</f>
        <v>0</v>
      </c>
      <c r="J42" s="976">
        <f>F42*0.032+M30/12</f>
        <v>71.412095999999991</v>
      </c>
      <c r="K42" s="976">
        <f>J42*B42</f>
        <v>0</v>
      </c>
      <c r="L42" s="976">
        <f>F42*0.0263+M30/12</f>
        <v>60.4730664</v>
      </c>
      <c r="M42" s="976">
        <f>L42*B42</f>
        <v>0</v>
      </c>
      <c r="N42" s="976">
        <f>F42*0.0219+M30/12</f>
        <v>52.028903199999995</v>
      </c>
      <c r="O42" s="976">
        <f>N42*B42</f>
        <v>0</v>
      </c>
      <c r="P42" s="123"/>
    </row>
    <row r="43" spans="1:16" s="120" customFormat="1" ht="13.5" thickBot="1">
      <c r="A43" s="989"/>
      <c r="B43" s="990"/>
      <c r="C43" s="63" t="s">
        <v>56</v>
      </c>
      <c r="D43" s="64" t="s">
        <v>57</v>
      </c>
      <c r="E43" s="65">
        <v>75</v>
      </c>
      <c r="F43" s="748" t="s">
        <v>35</v>
      </c>
      <c r="G43" s="977"/>
      <c r="H43" s="978"/>
      <c r="I43" s="977"/>
      <c r="J43" s="978"/>
      <c r="K43" s="977"/>
      <c r="L43" s="978"/>
      <c r="M43" s="977"/>
      <c r="N43" s="978"/>
      <c r="O43" s="977"/>
    </row>
    <row r="44" spans="1:16" s="125" customFormat="1" ht="13.5" customHeight="1" thickBot="1">
      <c r="A44" s="981" t="s">
        <v>59</v>
      </c>
      <c r="B44" s="982"/>
      <c r="C44" s="982"/>
      <c r="D44" s="982"/>
      <c r="E44" s="982"/>
      <c r="F44" s="982"/>
      <c r="G44" s="982"/>
      <c r="H44" s="982"/>
      <c r="I44" s="982"/>
      <c r="J44" s="982"/>
      <c r="K44" s="982"/>
      <c r="L44" s="982"/>
      <c r="M44" s="982"/>
      <c r="N44" s="982"/>
      <c r="O44" s="983"/>
    </row>
    <row r="45" spans="1:16" s="120" customFormat="1" ht="15.75" customHeight="1" thickBot="1">
      <c r="A45" s="1001"/>
      <c r="B45" s="126"/>
      <c r="C45" s="63" t="s">
        <v>77</v>
      </c>
      <c r="D45" s="176" t="s">
        <v>78</v>
      </c>
      <c r="E45" s="753">
        <v>361</v>
      </c>
      <c r="F45" s="2">
        <f>E45*(1-20%)</f>
        <v>288.8</v>
      </c>
      <c r="G45" s="2">
        <f>F45*B45</f>
        <v>0</v>
      </c>
      <c r="H45" s="26">
        <f>F45*0.0845</f>
        <v>24.403600000000001</v>
      </c>
      <c r="I45" s="26">
        <f>H45*B45</f>
        <v>0</v>
      </c>
      <c r="J45" s="26">
        <f>F45*0.032</f>
        <v>9.2416</v>
      </c>
      <c r="K45" s="26">
        <f>J45*B45</f>
        <v>0</v>
      </c>
      <c r="L45" s="26">
        <f>F45*0.0263</f>
        <v>7.5954400000000009</v>
      </c>
      <c r="M45" s="26">
        <f>L45*B45</f>
        <v>0</v>
      </c>
      <c r="N45" s="26">
        <f>F45*0.0219</f>
        <v>6.3247200000000001</v>
      </c>
      <c r="O45" s="26">
        <f>N45*B45</f>
        <v>0</v>
      </c>
      <c r="P45" s="505"/>
    </row>
    <row r="46" spans="1:16" s="120" customFormat="1" ht="26.25" thickBot="1">
      <c r="A46" s="984"/>
      <c r="B46" s="127"/>
      <c r="C46" s="63" t="s">
        <v>61</v>
      </c>
      <c r="D46" s="176" t="s">
        <v>79</v>
      </c>
      <c r="E46" s="753">
        <v>200.55</v>
      </c>
      <c r="F46" s="3">
        <f>E46*(1-20%)</f>
        <v>160.44000000000003</v>
      </c>
      <c r="G46" s="3">
        <f>F46*B46</f>
        <v>0</v>
      </c>
      <c r="H46" s="26">
        <f>F46*0.0845</f>
        <v>13.557180000000002</v>
      </c>
      <c r="I46" s="27">
        <f>H46*B46</f>
        <v>0</v>
      </c>
      <c r="J46" s="26">
        <f>F46*0.032</f>
        <v>5.1340800000000009</v>
      </c>
      <c r="K46" s="27">
        <f>J46*B46</f>
        <v>0</v>
      </c>
      <c r="L46" s="26">
        <f>F46*0.0263</f>
        <v>4.2195720000000003</v>
      </c>
      <c r="M46" s="26">
        <f>L46*B46</f>
        <v>0</v>
      </c>
      <c r="N46" s="26">
        <f>F46*0.0219</f>
        <v>3.5136360000000004</v>
      </c>
      <c r="O46" s="26">
        <f>N46*B46</f>
        <v>0</v>
      </c>
      <c r="P46" s="505"/>
    </row>
    <row r="47" spans="1:16" s="120" customFormat="1" ht="26.25" thickBot="1">
      <c r="A47" s="985"/>
      <c r="B47" s="127"/>
      <c r="C47" s="63" t="s">
        <v>63</v>
      </c>
      <c r="D47" s="176" t="s">
        <v>80</v>
      </c>
      <c r="E47" s="753">
        <v>304.5</v>
      </c>
      <c r="F47" s="3">
        <f>E47*(1-20%)</f>
        <v>243.60000000000002</v>
      </c>
      <c r="G47" s="3">
        <f>F47*B47</f>
        <v>0</v>
      </c>
      <c r="H47" s="26">
        <f>F47*0.0845</f>
        <v>20.584200000000003</v>
      </c>
      <c r="I47" s="27">
        <f>H47*B47</f>
        <v>0</v>
      </c>
      <c r="J47" s="26">
        <f>F47*0.032</f>
        <v>7.7952000000000012</v>
      </c>
      <c r="K47" s="27">
        <f>J47*B47</f>
        <v>0</v>
      </c>
      <c r="L47" s="26">
        <f>F47*0.0263</f>
        <v>6.4066800000000006</v>
      </c>
      <c r="M47" s="26">
        <f>L47*B47</f>
        <v>0</v>
      </c>
      <c r="N47" s="26">
        <f>F47*0.0219</f>
        <v>5.3348400000000007</v>
      </c>
      <c r="O47" s="26">
        <f>N47*B47</f>
        <v>0</v>
      </c>
      <c r="P47" s="505"/>
    </row>
    <row r="48" spans="1:16" s="128" customFormat="1" ht="15">
      <c r="B48" s="129"/>
      <c r="C48" s="129"/>
      <c r="D48" s="979" t="s">
        <v>65</v>
      </c>
      <c r="E48" s="972"/>
      <c r="F48" s="980"/>
      <c r="G48" s="752">
        <f t="array" ref="G48">SUM(G45:G47)+G39:G45:G47+G42</f>
        <v>0</v>
      </c>
      <c r="H48" s="112" t="s">
        <v>66</v>
      </c>
      <c r="I48" s="752">
        <f t="array" ref="I48">SUM(I45:I47)+I39:I45:I47+I42</f>
        <v>0</v>
      </c>
      <c r="J48" s="112" t="s">
        <v>67</v>
      </c>
      <c r="K48" s="752">
        <f t="array" ref="K48">SUM(K45:K47)+K39:K45:K47+K42</f>
        <v>0</v>
      </c>
      <c r="L48" s="112" t="s">
        <v>68</v>
      </c>
      <c r="M48" s="752">
        <f t="array" ref="M48">SUM(M45:M47)+M39:M45:M47+M42</f>
        <v>0</v>
      </c>
      <c r="N48" s="112" t="s">
        <v>69</v>
      </c>
      <c r="O48" s="752">
        <f t="array" ref="O48">SUM(O45:O47)+O39:O45:O47+O42</f>
        <v>0</v>
      </c>
    </row>
    <row r="53" spans="2:6" ht="15.75">
      <c r="C53" s="90"/>
      <c r="D53" s="104"/>
      <c r="E53" s="131"/>
      <c r="F53" s="131"/>
    </row>
    <row r="54" spans="2:6" ht="15.75">
      <c r="C54" s="90"/>
      <c r="D54" s="104"/>
      <c r="E54" s="131"/>
      <c r="F54" s="131"/>
    </row>
    <row r="55" spans="2:6" ht="15.75">
      <c r="C55" s="90"/>
      <c r="D55" s="104"/>
      <c r="E55" s="131"/>
      <c r="F55" s="131"/>
    </row>
    <row r="56" spans="2:6" ht="15.75">
      <c r="C56" s="90"/>
      <c r="D56" s="104"/>
      <c r="E56" s="131"/>
      <c r="F56" s="131"/>
    </row>
    <row r="57" spans="2:6" ht="15.75">
      <c r="C57" s="90"/>
      <c r="D57" s="104"/>
      <c r="E57" s="131"/>
      <c r="F57" s="131"/>
    </row>
    <row r="58" spans="2:6" ht="15.75">
      <c r="C58" s="90"/>
      <c r="D58" s="104"/>
      <c r="E58" s="131"/>
      <c r="F58" s="131"/>
    </row>
    <row r="62" spans="2:6">
      <c r="B62" s="75"/>
      <c r="C62" s="75"/>
    </row>
  </sheetData>
  <mergeCells count="51">
    <mergeCell ref="A28:H28"/>
    <mergeCell ref="I28:O28"/>
    <mergeCell ref="A4:O4"/>
    <mergeCell ref="A5:O5"/>
    <mergeCell ref="F10:I10"/>
    <mergeCell ref="F26:G26"/>
    <mergeCell ref="A27:O27"/>
    <mergeCell ref="A29:D29"/>
    <mergeCell ref="E29:G29"/>
    <mergeCell ref="I29:L29"/>
    <mergeCell ref="M29:O29"/>
    <mergeCell ref="A30:D30"/>
    <mergeCell ref="E30:G30"/>
    <mergeCell ref="I30:L30"/>
    <mergeCell ref="M30:O30"/>
    <mergeCell ref="A31:D31"/>
    <mergeCell ref="E31:G31"/>
    <mergeCell ref="I31:L31"/>
    <mergeCell ref="M31:O31"/>
    <mergeCell ref="A32:D32"/>
    <mergeCell ref="E32:G32"/>
    <mergeCell ref="I32:L32"/>
    <mergeCell ref="M32:O32"/>
    <mergeCell ref="G36:H36"/>
    <mergeCell ref="F37:G37"/>
    <mergeCell ref="H37:O37"/>
    <mergeCell ref="A39:A40"/>
    <mergeCell ref="B39:B40"/>
    <mergeCell ref="G39:G40"/>
    <mergeCell ref="H39:H40"/>
    <mergeCell ref="I39:I40"/>
    <mergeCell ref="J39:J40"/>
    <mergeCell ref="K39:K40"/>
    <mergeCell ref="L39:L40"/>
    <mergeCell ref="M39:M40"/>
    <mergeCell ref="N39:N40"/>
    <mergeCell ref="O39:O40"/>
    <mergeCell ref="O42:O43"/>
    <mergeCell ref="A44:O44"/>
    <mergeCell ref="A45:A47"/>
    <mergeCell ref="D48:F48"/>
    <mergeCell ref="K42:K43"/>
    <mergeCell ref="L42:L43"/>
    <mergeCell ref="M42:M43"/>
    <mergeCell ref="A42:A43"/>
    <mergeCell ref="B42:B43"/>
    <mergeCell ref="G42:G43"/>
    <mergeCell ref="H42:H43"/>
    <mergeCell ref="N42:N43"/>
    <mergeCell ref="I42:I43"/>
    <mergeCell ref="J42:J43"/>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DDBF-C68F-4E7C-86D0-942C184E7545}">
  <sheetPr>
    <tabColor indexed="62"/>
  </sheetPr>
  <dimension ref="A1:Q107"/>
  <sheetViews>
    <sheetView topLeftCell="D21" zoomScale="96" zoomScaleNormal="96" workbookViewId="0">
      <selection activeCell="E40" sqref="E40"/>
    </sheetView>
  </sheetViews>
  <sheetFormatPr defaultColWidth="8.85546875" defaultRowHeight="12.75"/>
  <cols>
    <col min="1" max="1" width="14.42578125" style="256" customWidth="1"/>
    <col min="2" max="2" width="9.42578125" style="256" customWidth="1"/>
    <col min="3" max="3" width="21.7109375" style="549" bestFit="1" customWidth="1"/>
    <col min="4" max="4" width="37.42578125" style="256" customWidth="1"/>
    <col min="5" max="5" width="17.42578125" style="256" customWidth="1"/>
    <col min="6" max="6" width="19" style="333" customWidth="1"/>
    <col min="7" max="7" width="15.42578125" style="256" customWidth="1"/>
    <col min="8" max="8" width="28.28515625" style="256" customWidth="1"/>
    <col min="9" max="9" width="20.140625" style="256" customWidth="1"/>
    <col min="10" max="10" width="25" style="256" customWidth="1"/>
    <col min="11" max="11" width="19" style="256" customWidth="1"/>
    <col min="12" max="12" width="25" style="256" customWidth="1"/>
    <col min="13" max="13" width="17" style="256" customWidth="1"/>
    <col min="14" max="14" width="25" style="256" customWidth="1"/>
    <col min="15" max="15" width="18.85546875" style="256" customWidth="1"/>
    <col min="16" max="16" width="12.42578125" style="256" customWidth="1"/>
    <col min="17" max="16384" width="8.85546875" style="256"/>
  </cols>
  <sheetData>
    <row r="1" spans="1:15" ht="13.5" thickBot="1">
      <c r="B1" s="259"/>
      <c r="C1" s="632"/>
      <c r="D1" s="258"/>
      <c r="E1" s="258"/>
      <c r="F1" s="259"/>
      <c r="G1" s="259"/>
      <c r="H1" s="259"/>
      <c r="I1" s="259"/>
      <c r="J1" s="259"/>
      <c r="K1" s="258"/>
      <c r="L1" s="259"/>
    </row>
    <row r="2" spans="1:15" ht="9" customHeight="1">
      <c r="A2" s="260"/>
      <c r="B2" s="264"/>
      <c r="C2" s="634"/>
      <c r="D2" s="262"/>
      <c r="E2" s="262"/>
      <c r="F2" s="263"/>
      <c r="G2" s="264"/>
      <c r="H2" s="263"/>
      <c r="I2" s="264"/>
      <c r="J2" s="264"/>
      <c r="K2" s="264"/>
      <c r="L2" s="264"/>
      <c r="M2" s="260"/>
      <c r="N2" s="260"/>
      <c r="O2" s="260"/>
    </row>
    <row r="3" spans="1:15" ht="10.5" customHeight="1">
      <c r="B3" s="265"/>
      <c r="C3" s="632"/>
      <c r="D3" s="258"/>
      <c r="E3" s="258"/>
      <c r="F3" s="259"/>
      <c r="G3" s="265"/>
      <c r="H3" s="259"/>
      <c r="I3" s="265"/>
      <c r="J3" s="265"/>
      <c r="K3" s="265"/>
      <c r="L3" s="265"/>
    </row>
    <row r="4" spans="1:15" ht="36" customHeight="1">
      <c r="A4" s="1043" t="s">
        <v>501</v>
      </c>
      <c r="B4" s="1020"/>
      <c r="C4" s="1020"/>
      <c r="D4" s="1020"/>
      <c r="E4" s="1020"/>
      <c r="F4" s="1020"/>
      <c r="G4" s="1020"/>
      <c r="H4" s="1020"/>
      <c r="I4" s="1020"/>
      <c r="J4" s="1020"/>
      <c r="K4" s="1020"/>
      <c r="L4" s="1020"/>
      <c r="M4" s="1020"/>
      <c r="N4" s="1020"/>
      <c r="O4" s="1020"/>
    </row>
    <row r="5" spans="1:15" s="266" customFormat="1" ht="41.25" customHeight="1">
      <c r="A5" s="1044" t="s">
        <v>502</v>
      </c>
      <c r="B5" s="1045"/>
      <c r="C5" s="1045"/>
      <c r="D5" s="1045"/>
      <c r="E5" s="1045"/>
      <c r="F5" s="1045"/>
      <c r="G5" s="1045"/>
      <c r="H5" s="1045"/>
      <c r="I5" s="1045"/>
      <c r="J5" s="1045"/>
      <c r="K5" s="1045"/>
      <c r="L5" s="1045"/>
      <c r="M5" s="1045"/>
      <c r="N5" s="1045"/>
      <c r="O5" s="1045"/>
    </row>
    <row r="6" spans="1:15" ht="12" customHeight="1" thickBot="1">
      <c r="A6" s="267"/>
      <c r="B6" s="267"/>
      <c r="C6" s="267"/>
      <c r="D6" s="267"/>
      <c r="E6" s="267"/>
      <c r="F6" s="267"/>
      <c r="G6" s="267"/>
      <c r="H6" s="267"/>
      <c r="I6" s="267"/>
      <c r="J6" s="267"/>
      <c r="K6" s="267"/>
      <c r="L6" s="267"/>
      <c r="M6" s="267"/>
      <c r="N6" s="267"/>
      <c r="O6" s="267"/>
    </row>
    <row r="8" spans="1:15" s="265" customFormat="1" ht="14.25">
      <c r="C8" s="282"/>
      <c r="F8" s="446"/>
      <c r="G8" s="446"/>
      <c r="H8" s="1046" t="s">
        <v>0</v>
      </c>
      <c r="I8" s="1046"/>
      <c r="J8" s="1046"/>
      <c r="K8" s="507"/>
    </row>
    <row r="9" spans="1:15" s="265" customFormat="1" ht="14.25">
      <c r="C9" s="282"/>
      <c r="H9" s="275" t="s">
        <v>1</v>
      </c>
      <c r="I9" s="265" t="s">
        <v>503</v>
      </c>
    </row>
    <row r="10" spans="1:15" s="265" customFormat="1">
      <c r="B10" s="282"/>
      <c r="C10" s="282"/>
      <c r="G10" s="282"/>
      <c r="H10" s="270" t="s">
        <v>3</v>
      </c>
      <c r="I10" s="282" t="s">
        <v>180</v>
      </c>
      <c r="J10" s="282"/>
      <c r="K10" s="273"/>
      <c r="L10" s="282"/>
    </row>
    <row r="11" spans="1:15" s="265" customFormat="1" ht="12.75" customHeight="1">
      <c r="B11" s="548"/>
      <c r="C11" s="282"/>
      <c r="F11" s="446"/>
      <c r="G11" s="548"/>
      <c r="H11" s="276" t="s">
        <v>5</v>
      </c>
      <c r="I11" s="548" t="s">
        <v>504</v>
      </c>
      <c r="J11" s="548"/>
      <c r="L11" s="548"/>
    </row>
    <row r="12" spans="1:15" s="265" customFormat="1">
      <c r="B12" s="282"/>
      <c r="C12" s="282"/>
      <c r="F12" s="446"/>
      <c r="G12" s="282"/>
      <c r="H12" s="270" t="s">
        <v>7</v>
      </c>
      <c r="I12" s="556">
        <v>300000</v>
      </c>
      <c r="J12" s="282"/>
      <c r="L12" s="282"/>
    </row>
    <row r="13" spans="1:15" s="265" customFormat="1">
      <c r="C13" s="673"/>
      <c r="F13" s="446"/>
      <c r="H13" s="270" t="s">
        <v>8</v>
      </c>
      <c r="I13" s="265" t="s">
        <v>505</v>
      </c>
    </row>
    <row r="14" spans="1:15" s="265" customFormat="1">
      <c r="C14" s="282"/>
      <c r="F14" s="446"/>
      <c r="H14" s="270" t="s">
        <v>10</v>
      </c>
      <c r="I14" s="265" t="s">
        <v>506</v>
      </c>
    </row>
    <row r="15" spans="1:15" s="265" customFormat="1">
      <c r="C15" s="282"/>
      <c r="F15" s="302"/>
      <c r="H15" s="270" t="s">
        <v>183</v>
      </c>
      <c r="I15" s="265" t="s">
        <v>507</v>
      </c>
    </row>
    <row r="16" spans="1:15" s="265" customFormat="1">
      <c r="C16" s="282"/>
      <c r="F16" s="446"/>
      <c r="H16" s="270" t="s">
        <v>185</v>
      </c>
      <c r="I16" s="265" t="s">
        <v>508</v>
      </c>
    </row>
    <row r="17" spans="1:15" s="265" customFormat="1">
      <c r="C17" s="282"/>
      <c r="F17" s="446"/>
      <c r="H17" s="270" t="s">
        <v>14</v>
      </c>
      <c r="I17" s="265" t="s">
        <v>509</v>
      </c>
    </row>
    <row r="18" spans="1:15" s="265" customFormat="1">
      <c r="C18" s="282"/>
      <c r="I18" s="265" t="s">
        <v>510</v>
      </c>
    </row>
    <row r="19" spans="1:15" s="265" customFormat="1">
      <c r="C19" s="282"/>
      <c r="F19" s="446"/>
      <c r="I19" s="265" t="s">
        <v>188</v>
      </c>
    </row>
    <row r="20" spans="1:15" s="265" customFormat="1">
      <c r="C20" s="282"/>
      <c r="F20" s="446"/>
      <c r="H20" s="270" t="s">
        <v>16</v>
      </c>
      <c r="I20" s="265" t="s">
        <v>511</v>
      </c>
    </row>
    <row r="21" spans="1:15" s="265" customFormat="1">
      <c r="C21" s="282"/>
      <c r="F21" s="446"/>
      <c r="H21" s="270" t="s">
        <v>18</v>
      </c>
      <c r="I21" s="265" t="s">
        <v>190</v>
      </c>
    </row>
    <row r="22" spans="1:15" s="265" customFormat="1">
      <c r="B22" s="282"/>
      <c r="C22" s="282"/>
      <c r="F22" s="446"/>
      <c r="G22" s="282"/>
      <c r="H22" s="270" t="s">
        <v>20</v>
      </c>
      <c r="I22" s="282" t="s">
        <v>233</v>
      </c>
      <c r="J22" s="282"/>
      <c r="L22" s="282"/>
    </row>
    <row r="23" spans="1:15" s="265" customFormat="1" ht="12" customHeight="1">
      <c r="C23" s="282"/>
      <c r="F23" s="446"/>
      <c r="H23" s="270" t="s">
        <v>22</v>
      </c>
      <c r="I23" s="265" t="s">
        <v>512</v>
      </c>
    </row>
    <row r="24" spans="1:15" s="265" customFormat="1" ht="15.75" customHeight="1">
      <c r="C24" s="282"/>
      <c r="D24" s="1047"/>
      <c r="E24" s="277"/>
      <c r="F24" s="283"/>
      <c r="H24" s="270" t="s">
        <v>24</v>
      </c>
      <c r="I24" s="265" t="s">
        <v>513</v>
      </c>
      <c r="K24" s="674"/>
    </row>
    <row r="25" spans="1:15" s="265" customFormat="1" ht="12.75" customHeight="1">
      <c r="C25" s="282"/>
      <c r="D25" s="1047"/>
      <c r="E25" s="277"/>
      <c r="F25" s="283"/>
      <c r="H25" s="270" t="s">
        <v>26</v>
      </c>
      <c r="I25" s="265" t="s">
        <v>514</v>
      </c>
    </row>
    <row r="26" spans="1:15" s="265" customFormat="1" ht="12.75" customHeight="1">
      <c r="C26" s="282"/>
      <c r="D26" s="277"/>
      <c r="E26" s="277"/>
      <c r="F26" s="283"/>
      <c r="H26" s="270" t="s">
        <v>28</v>
      </c>
      <c r="I26" s="265" t="s">
        <v>515</v>
      </c>
    </row>
    <row r="27" spans="1:15" s="265" customFormat="1" ht="15" thickBot="1">
      <c r="A27" s="1111" t="s">
        <v>30</v>
      </c>
      <c r="B27" s="1167"/>
      <c r="C27" s="1167"/>
      <c r="D27" s="1167"/>
      <c r="E27" s="1167"/>
      <c r="F27" s="1167"/>
      <c r="G27" s="1167"/>
      <c r="H27" s="1167"/>
      <c r="I27" s="1167"/>
      <c r="J27" s="1167"/>
      <c r="K27" s="1167"/>
      <c r="L27" s="1167"/>
      <c r="M27" s="1167"/>
      <c r="N27" s="1167"/>
      <c r="O27" s="1167"/>
    </row>
    <row r="28" spans="1:15" s="265" customFormat="1" ht="14.25">
      <c r="A28" s="1105" t="s">
        <v>491</v>
      </c>
      <c r="B28" s="1106"/>
      <c r="C28" s="1106"/>
      <c r="D28" s="1107"/>
      <c r="E28" s="1108" t="s">
        <v>492</v>
      </c>
      <c r="F28" s="1168"/>
      <c r="G28" s="1168"/>
      <c r="H28" s="1168"/>
      <c r="I28" s="1168"/>
      <c r="J28" s="1169"/>
      <c r="K28" s="1105" t="s">
        <v>493</v>
      </c>
      <c r="L28" s="1106"/>
      <c r="M28" s="1106"/>
      <c r="N28" s="1106"/>
      <c r="O28" s="1107"/>
    </row>
    <row r="29" spans="1:15" s="265" customFormat="1" ht="12.75" customHeight="1">
      <c r="A29" s="1028" t="s">
        <v>33</v>
      </c>
      <c r="B29" s="1029"/>
      <c r="C29" s="1029"/>
      <c r="D29" s="279" t="s">
        <v>34</v>
      </c>
      <c r="E29" s="1028" t="s">
        <v>33</v>
      </c>
      <c r="F29" s="1029"/>
      <c r="G29" s="1029"/>
      <c r="H29" s="1029"/>
      <c r="I29" s="1093" t="s">
        <v>35</v>
      </c>
      <c r="J29" s="1117"/>
      <c r="K29" s="1028" t="s">
        <v>33</v>
      </c>
      <c r="L29" s="1029"/>
      <c r="M29" s="1029"/>
      <c r="N29" s="1095" t="s">
        <v>35</v>
      </c>
      <c r="O29" s="1096"/>
    </row>
    <row r="30" spans="1:15" s="265" customFormat="1" ht="12.75" customHeight="1">
      <c r="A30" s="1028" t="s">
        <v>199</v>
      </c>
      <c r="B30" s="1029"/>
      <c r="C30" s="1029"/>
      <c r="D30" s="280">
        <v>0</v>
      </c>
      <c r="E30" s="1028" t="s">
        <v>199</v>
      </c>
      <c r="F30" s="1029"/>
      <c r="G30" s="1029"/>
      <c r="H30" s="1029"/>
      <c r="I30" s="1102">
        <v>1320</v>
      </c>
      <c r="J30" s="1170"/>
      <c r="K30" s="1028" t="s">
        <v>199</v>
      </c>
      <c r="L30" s="1029"/>
      <c r="M30" s="1029"/>
      <c r="N30" s="1103">
        <v>1920</v>
      </c>
      <c r="O30" s="1104"/>
    </row>
    <row r="31" spans="1:15" s="265" customFormat="1" ht="12.75" customHeight="1">
      <c r="A31" s="1028" t="s">
        <v>37</v>
      </c>
      <c r="B31" s="1029"/>
      <c r="C31" s="1029"/>
      <c r="D31" s="279" t="s">
        <v>38</v>
      </c>
      <c r="E31" s="1028" t="s">
        <v>37</v>
      </c>
      <c r="F31" s="1029"/>
      <c r="G31" s="1029"/>
      <c r="H31" s="1029"/>
      <c r="I31" s="1093" t="s">
        <v>494</v>
      </c>
      <c r="J31" s="1117"/>
      <c r="K31" s="1028" t="s">
        <v>37</v>
      </c>
      <c r="L31" s="1029"/>
      <c r="M31" s="1029"/>
      <c r="N31" s="1095" t="s">
        <v>495</v>
      </c>
      <c r="O31" s="1096"/>
    </row>
    <row r="32" spans="1:15" s="265" customFormat="1" ht="12.75" customHeight="1" thickBot="1">
      <c r="A32" s="1031" t="s">
        <v>202</v>
      </c>
      <c r="B32" s="1032"/>
      <c r="C32" s="1032"/>
      <c r="D32" s="281" t="s">
        <v>496</v>
      </c>
      <c r="E32" s="1031" t="s">
        <v>204</v>
      </c>
      <c r="F32" s="1032"/>
      <c r="G32" s="1032"/>
      <c r="H32" s="1032"/>
      <c r="I32" s="1097" t="s">
        <v>497</v>
      </c>
      <c r="J32" s="1116"/>
      <c r="K32" s="1031" t="s">
        <v>40</v>
      </c>
      <c r="L32" s="1032"/>
      <c r="M32" s="1032"/>
      <c r="N32" s="1099" t="s">
        <v>497</v>
      </c>
      <c r="O32" s="1100"/>
    </row>
    <row r="33" spans="1:15" s="265" customFormat="1" ht="12.75" customHeight="1">
      <c r="A33" s="547"/>
      <c r="B33" s="256"/>
      <c r="C33" s="256"/>
      <c r="E33" s="547"/>
      <c r="F33" s="256"/>
      <c r="I33" s="547"/>
      <c r="J33" s="256"/>
      <c r="M33" s="647"/>
    </row>
    <row r="34" spans="1:15" s="265" customFormat="1" ht="12.75" customHeight="1">
      <c r="C34" s="700"/>
      <c r="D34" s="277"/>
      <c r="E34" s="277"/>
      <c r="F34" s="283"/>
      <c r="G34" s="283"/>
      <c r="H34" s="283"/>
      <c r="I34" s="1059"/>
      <c r="J34" s="1059"/>
      <c r="K34" s="1059"/>
    </row>
    <row r="35" spans="1:15" s="265" customFormat="1" ht="12.75" customHeight="1">
      <c r="C35" s="282"/>
      <c r="D35" s="277"/>
      <c r="E35" s="277"/>
      <c r="F35" s="283"/>
      <c r="G35" s="283"/>
      <c r="H35" s="283"/>
      <c r="I35" s="1059"/>
      <c r="J35" s="1059"/>
      <c r="K35" s="1059"/>
    </row>
    <row r="36" spans="1:15" s="265" customFormat="1" ht="12.75" customHeight="1">
      <c r="C36" s="282"/>
      <c r="D36" s="277"/>
      <c r="E36" s="277"/>
      <c r="F36" s="283"/>
      <c r="G36" s="283"/>
      <c r="H36" s="283"/>
      <c r="I36" s="1059"/>
      <c r="J36" s="1059"/>
      <c r="K36" s="1059"/>
    </row>
    <row r="37" spans="1:15" s="265" customFormat="1" ht="13.5" customHeight="1" thickBot="1">
      <c r="B37" s="288"/>
      <c r="C37" s="282"/>
      <c r="D37" s="277"/>
      <c r="E37" s="277"/>
      <c r="F37" s="283"/>
      <c r="G37" s="288"/>
      <c r="I37" s="288"/>
      <c r="J37" s="288"/>
      <c r="K37" s="288"/>
      <c r="L37" s="288"/>
    </row>
    <row r="38" spans="1:15" s="265" customFormat="1" ht="15.75" customHeight="1" thickBot="1">
      <c r="C38" s="282"/>
      <c r="F38" s="1063" t="s">
        <v>43</v>
      </c>
      <c r="G38" s="1022"/>
      <c r="H38" s="1023" t="s">
        <v>44</v>
      </c>
      <c r="I38" s="1024"/>
      <c r="J38" s="1101"/>
      <c r="K38" s="1003"/>
      <c r="L38" s="1003"/>
      <c r="M38" s="1003"/>
      <c r="N38" s="1003"/>
      <c r="O38" s="1025"/>
    </row>
    <row r="39" spans="1:15" s="291" customFormat="1" ht="62.25" customHeight="1" thickBot="1">
      <c r="A39" s="289" t="s">
        <v>45</v>
      </c>
      <c r="B39" s="289" t="s">
        <v>46</v>
      </c>
      <c r="C39" s="675" t="s">
        <v>47</v>
      </c>
      <c r="D39" s="290" t="s">
        <v>48</v>
      </c>
      <c r="E39" s="290" t="s">
        <v>49</v>
      </c>
      <c r="F39" s="290" t="s">
        <v>50</v>
      </c>
      <c r="G39" s="289" t="s">
        <v>51</v>
      </c>
      <c r="H39" s="290" t="s">
        <v>52</v>
      </c>
      <c r="I39" s="289" t="s">
        <v>51</v>
      </c>
      <c r="J39" s="290" t="s">
        <v>53</v>
      </c>
      <c r="K39" s="289" t="s">
        <v>51</v>
      </c>
      <c r="L39" s="290" t="s">
        <v>54</v>
      </c>
      <c r="M39" s="289" t="s">
        <v>51</v>
      </c>
      <c r="N39" s="290" t="s">
        <v>55</v>
      </c>
      <c r="O39" s="289" t="s">
        <v>51</v>
      </c>
    </row>
    <row r="40" spans="1:15" s="296" customFormat="1" ht="15.75" thickBot="1">
      <c r="A40" s="1089">
        <v>17</v>
      </c>
      <c r="B40" s="1184"/>
      <c r="C40" s="676" t="s">
        <v>516</v>
      </c>
      <c r="D40" s="677" t="s">
        <v>517</v>
      </c>
      <c r="E40" s="678">
        <v>44846.91</v>
      </c>
      <c r="F40" s="679">
        <f>SUM(E40:E41)*(1-82%)</f>
        <v>8119.0638000000026</v>
      </c>
      <c r="G40" s="1187">
        <f>F40*B40</f>
        <v>0</v>
      </c>
      <c r="H40" s="680">
        <f>F40*0.0845</f>
        <v>686.06089110000028</v>
      </c>
      <c r="I40" s="1187">
        <f>H40*B40</f>
        <v>0</v>
      </c>
      <c r="J40" s="680">
        <f>F40*0.032</f>
        <v>259.81004160000009</v>
      </c>
      <c r="K40" s="1187">
        <f>J40*B40</f>
        <v>0</v>
      </c>
      <c r="L40" s="295">
        <f>F40*0.0263</f>
        <v>213.53137794000008</v>
      </c>
      <c r="M40" s="1026">
        <f>L40*B40</f>
        <v>0</v>
      </c>
      <c r="N40" s="295">
        <f>F40*0.0219</f>
        <v>177.80749722000004</v>
      </c>
      <c r="O40" s="1026">
        <f>N40*B40</f>
        <v>0</v>
      </c>
    </row>
    <row r="41" spans="1:15" s="291" customFormat="1" ht="13.5" thickBot="1">
      <c r="A41" s="1091"/>
      <c r="B41" s="1172"/>
      <c r="C41" s="303" t="s">
        <v>56</v>
      </c>
      <c r="D41" s="701" t="s">
        <v>424</v>
      </c>
      <c r="E41" s="685">
        <v>259</v>
      </c>
      <c r="F41" s="692" t="s">
        <v>35</v>
      </c>
      <c r="G41" s="1186"/>
      <c r="H41" s="692" t="s">
        <v>35</v>
      </c>
      <c r="I41" s="1186"/>
      <c r="J41" s="692" t="s">
        <v>35</v>
      </c>
      <c r="K41" s="1186"/>
      <c r="L41" s="32" t="s">
        <v>35</v>
      </c>
      <c r="M41" s="1092"/>
      <c r="N41" s="32" t="s">
        <v>35</v>
      </c>
      <c r="O41" s="1092"/>
    </row>
    <row r="42" spans="1:15" s="291" customFormat="1" ht="13.5" thickBot="1">
      <c r="A42" s="687"/>
      <c r="B42" s="545"/>
      <c r="C42" s="545"/>
      <c r="D42" s="537"/>
      <c r="E42" s="564"/>
      <c r="F42" s="688"/>
      <c r="G42" s="538"/>
      <c r="H42" s="693"/>
      <c r="I42" s="538"/>
      <c r="J42" s="693"/>
      <c r="K42" s="539"/>
      <c r="L42" s="36"/>
      <c r="M42" s="34"/>
      <c r="N42" s="36"/>
      <c r="O42" s="35"/>
    </row>
    <row r="43" spans="1:15" s="296" customFormat="1" ht="15.75" thickBot="1">
      <c r="A43" s="1089" t="s">
        <v>499</v>
      </c>
      <c r="B43" s="1184"/>
      <c r="C43" s="676" t="s">
        <v>516</v>
      </c>
      <c r="D43" s="677" t="s">
        <v>517</v>
      </c>
      <c r="E43" s="678">
        <v>44846.91</v>
      </c>
      <c r="F43" s="679">
        <f>SUM(E43:E44)*(1-82%)</f>
        <v>8119.0638000000026</v>
      </c>
      <c r="G43" s="1187">
        <f>F43*B43</f>
        <v>0</v>
      </c>
      <c r="H43" s="680">
        <f>F43*0.0845+I30/12</f>
        <v>796.06089110000028</v>
      </c>
      <c r="I43" s="1187">
        <f>H43*B43</f>
        <v>0</v>
      </c>
      <c r="J43" s="680">
        <f>F43*0.032+I30/12</f>
        <v>369.81004160000009</v>
      </c>
      <c r="K43" s="1187">
        <f>J43*B43</f>
        <v>0</v>
      </c>
      <c r="L43" s="295">
        <f>F43*0.0263+I30/12</f>
        <v>323.53137794000008</v>
      </c>
      <c r="M43" s="1026">
        <f>L43*B43</f>
        <v>0</v>
      </c>
      <c r="N43" s="295">
        <f>F43*0.0219+I30/12</f>
        <v>287.80749722000007</v>
      </c>
      <c r="O43" s="1026">
        <f>N43*B43</f>
        <v>0</v>
      </c>
    </row>
    <row r="44" spans="1:15" s="291" customFormat="1" ht="13.5" thickBot="1">
      <c r="A44" s="1091"/>
      <c r="B44" s="1172"/>
      <c r="C44" s="303" t="s">
        <v>56</v>
      </c>
      <c r="D44" s="701" t="s">
        <v>424</v>
      </c>
      <c r="E44" s="685">
        <v>259</v>
      </c>
      <c r="F44" s="692" t="s">
        <v>35</v>
      </c>
      <c r="G44" s="1186"/>
      <c r="H44" s="692" t="s">
        <v>35</v>
      </c>
      <c r="I44" s="1186"/>
      <c r="J44" s="692" t="s">
        <v>35</v>
      </c>
      <c r="K44" s="1186"/>
      <c r="L44" s="32" t="s">
        <v>35</v>
      </c>
      <c r="M44" s="1092"/>
      <c r="N44" s="32" t="s">
        <v>35</v>
      </c>
      <c r="O44" s="1092"/>
    </row>
    <row r="45" spans="1:15" s="291" customFormat="1" ht="13.5" thickBot="1">
      <c r="A45" s="687"/>
      <c r="B45" s="545"/>
      <c r="C45" s="545"/>
      <c r="D45" s="537"/>
      <c r="E45" s="564"/>
      <c r="F45" s="688"/>
      <c r="G45" s="538"/>
      <c r="H45" s="693"/>
      <c r="I45" s="538"/>
      <c r="J45" s="693"/>
      <c r="K45" s="539"/>
      <c r="L45" s="36"/>
      <c r="M45" s="34"/>
      <c r="N45" s="36"/>
      <c r="O45" s="35"/>
    </row>
    <row r="46" spans="1:15" s="296" customFormat="1" ht="15.75" thickBot="1">
      <c r="A46" s="1089" t="s">
        <v>500</v>
      </c>
      <c r="B46" s="1184"/>
      <c r="C46" s="676" t="s">
        <v>516</v>
      </c>
      <c r="D46" s="677" t="s">
        <v>517</v>
      </c>
      <c r="E46" s="678">
        <v>44846.91</v>
      </c>
      <c r="F46" s="679">
        <f>SUM(E46:E47)*(1-82%)</f>
        <v>8119.0638000000026</v>
      </c>
      <c r="G46" s="1187">
        <f>F46*B46</f>
        <v>0</v>
      </c>
      <c r="H46" s="680">
        <f>F46*0.0845+N30/12</f>
        <v>846.06089110000028</v>
      </c>
      <c r="I46" s="1187">
        <f>H46*B46</f>
        <v>0</v>
      </c>
      <c r="J46" s="680">
        <f>F46*0.032+N30/12</f>
        <v>419.81004160000009</v>
      </c>
      <c r="K46" s="1187">
        <f>J46*B46</f>
        <v>0</v>
      </c>
      <c r="L46" s="295">
        <f>F46*0.0263+N30/12</f>
        <v>373.53137794000008</v>
      </c>
      <c r="M46" s="1026">
        <f>L46*B46</f>
        <v>0</v>
      </c>
      <c r="N46" s="295">
        <f>F46*0.0219+N30/12</f>
        <v>337.80749722000007</v>
      </c>
      <c r="O46" s="1026">
        <f>N46*B46</f>
        <v>0</v>
      </c>
    </row>
    <row r="47" spans="1:15" s="291" customFormat="1" ht="13.5" thickBot="1">
      <c r="A47" s="1091"/>
      <c r="B47" s="1172"/>
      <c r="C47" s="303" t="s">
        <v>56</v>
      </c>
      <c r="D47" s="701" t="s">
        <v>424</v>
      </c>
      <c r="E47" s="685">
        <v>259</v>
      </c>
      <c r="F47" s="692" t="s">
        <v>35</v>
      </c>
      <c r="G47" s="1186"/>
      <c r="H47" s="692" t="s">
        <v>35</v>
      </c>
      <c r="I47" s="1186"/>
      <c r="J47" s="692" t="s">
        <v>35</v>
      </c>
      <c r="K47" s="1186"/>
      <c r="L47" s="608" t="s">
        <v>35</v>
      </c>
      <c r="M47" s="1084"/>
      <c r="N47" s="608" t="s">
        <v>35</v>
      </c>
      <c r="O47" s="1084"/>
    </row>
    <row r="48" spans="1:15" s="519" customFormat="1" ht="13.5" customHeight="1" thickBot="1">
      <c r="A48" s="1204" t="s">
        <v>59</v>
      </c>
      <c r="B48" s="1003"/>
      <c r="C48" s="1003"/>
      <c r="D48" s="1003"/>
      <c r="E48" s="1003"/>
      <c r="F48" s="1004"/>
      <c r="G48" s="1004"/>
      <c r="H48" s="1004"/>
      <c r="I48" s="1004"/>
      <c r="J48" s="1004"/>
      <c r="K48" s="1004"/>
      <c r="L48" s="1004"/>
      <c r="M48" s="1004"/>
      <c r="N48" s="1004"/>
      <c r="O48" s="1005"/>
    </row>
    <row r="49" spans="1:17" s="291" customFormat="1" ht="13.5" thickBot="1">
      <c r="A49" s="1172"/>
      <c r="B49" s="695"/>
      <c r="C49" s="231" t="s">
        <v>103</v>
      </c>
      <c r="D49" s="232" t="s">
        <v>104</v>
      </c>
      <c r="E49" s="704">
        <v>129.99</v>
      </c>
      <c r="F49" s="594">
        <f t="shared" ref="F49:F91" si="0">E49*(1-40%)</f>
        <v>77.994</v>
      </c>
      <c r="G49" s="396">
        <f t="shared" ref="G49:G91" si="1">F49*B49</f>
        <v>0</v>
      </c>
      <c r="H49" s="396">
        <f t="shared" ref="H49:H91" si="2">F49*0.0845</f>
        <v>6.5904930000000004</v>
      </c>
      <c r="I49" s="396">
        <f t="shared" ref="I49:I91" si="3">H49*B49</f>
        <v>0</v>
      </c>
      <c r="J49" s="396">
        <f t="shared" ref="J49:J91" si="4">F49*0.032</f>
        <v>2.4958080000000002</v>
      </c>
      <c r="K49" s="396">
        <f t="shared" ref="K49:K91" si="5">J49*B49</f>
        <v>0</v>
      </c>
      <c r="L49" s="396">
        <f t="shared" ref="L49:L91" si="6">F49*0.0263</f>
        <v>2.0512421999999999</v>
      </c>
      <c r="M49" s="396">
        <f t="shared" ref="M49:M91" si="7">L49*B49</f>
        <v>0</v>
      </c>
      <c r="N49" s="396">
        <f t="shared" ref="N49:N91" si="8">F49*0.0219</f>
        <v>1.7080686</v>
      </c>
      <c r="O49" s="705">
        <f t="shared" ref="O49:O91" si="9">N49*B49</f>
        <v>0</v>
      </c>
      <c r="P49" s="568"/>
      <c r="Q49" s="706"/>
    </row>
    <row r="50" spans="1:17" s="291" customFormat="1" ht="13.5" thickBot="1">
      <c r="A50" s="1172"/>
      <c r="B50" s="695"/>
      <c r="C50" s="231" t="s">
        <v>105</v>
      </c>
      <c r="D50" s="232" t="s">
        <v>325</v>
      </c>
      <c r="E50" s="704">
        <v>399</v>
      </c>
      <c r="F50" s="594">
        <f t="shared" si="0"/>
        <v>239.39999999999998</v>
      </c>
      <c r="G50" s="396">
        <f t="shared" si="1"/>
        <v>0</v>
      </c>
      <c r="H50" s="396">
        <f t="shared" si="2"/>
        <v>20.229299999999999</v>
      </c>
      <c r="I50" s="396">
        <f t="shared" si="3"/>
        <v>0</v>
      </c>
      <c r="J50" s="396">
        <f t="shared" si="4"/>
        <v>7.6607999999999992</v>
      </c>
      <c r="K50" s="396">
        <f t="shared" si="5"/>
        <v>0</v>
      </c>
      <c r="L50" s="396">
        <f t="shared" si="6"/>
        <v>6.2962199999999999</v>
      </c>
      <c r="M50" s="396">
        <f t="shared" si="7"/>
        <v>0</v>
      </c>
      <c r="N50" s="396">
        <f t="shared" si="8"/>
        <v>5.2428599999999994</v>
      </c>
      <c r="O50" s="705">
        <f t="shared" si="9"/>
        <v>0</v>
      </c>
      <c r="P50" s="568"/>
      <c r="Q50" s="706"/>
    </row>
    <row r="51" spans="1:17" s="291" customFormat="1" ht="13.5" thickBot="1">
      <c r="A51" s="1172"/>
      <c r="B51" s="695"/>
      <c r="C51" s="231" t="s">
        <v>109</v>
      </c>
      <c r="D51" s="232" t="s">
        <v>110</v>
      </c>
      <c r="E51" s="704">
        <v>400</v>
      </c>
      <c r="F51" s="491">
        <f t="shared" si="0"/>
        <v>240</v>
      </c>
      <c r="G51" s="566">
        <f t="shared" si="1"/>
        <v>0</v>
      </c>
      <c r="H51" s="566">
        <f t="shared" si="2"/>
        <v>20.28</v>
      </c>
      <c r="I51" s="566">
        <f t="shared" si="3"/>
        <v>0</v>
      </c>
      <c r="J51" s="566">
        <f t="shared" si="4"/>
        <v>7.68</v>
      </c>
      <c r="K51" s="566">
        <f t="shared" si="5"/>
        <v>0</v>
      </c>
      <c r="L51" s="566">
        <f t="shared" si="6"/>
        <v>6.3120000000000003</v>
      </c>
      <c r="M51" s="566">
        <f t="shared" si="7"/>
        <v>0</v>
      </c>
      <c r="N51" s="566">
        <f t="shared" si="8"/>
        <v>5.2560000000000002</v>
      </c>
      <c r="O51" s="707">
        <f t="shared" si="9"/>
        <v>0</v>
      </c>
      <c r="P51" s="568"/>
      <c r="Q51" s="706"/>
    </row>
    <row r="52" spans="1:17" s="291" customFormat="1" ht="13.5" thickBot="1">
      <c r="A52" s="1172"/>
      <c r="B52" s="695"/>
      <c r="C52" s="231" t="s">
        <v>538</v>
      </c>
      <c r="D52" s="232" t="s">
        <v>2656</v>
      </c>
      <c r="E52" s="704">
        <v>79</v>
      </c>
      <c r="F52" s="491">
        <f t="shared" si="0"/>
        <v>47.4</v>
      </c>
      <c r="G52" s="566">
        <f t="shared" si="1"/>
        <v>0</v>
      </c>
      <c r="H52" s="566">
        <f t="shared" si="2"/>
        <v>4.0053000000000001</v>
      </c>
      <c r="I52" s="566">
        <f t="shared" si="3"/>
        <v>0</v>
      </c>
      <c r="J52" s="566">
        <f t="shared" si="4"/>
        <v>1.5167999999999999</v>
      </c>
      <c r="K52" s="566">
        <f t="shared" si="5"/>
        <v>0</v>
      </c>
      <c r="L52" s="566">
        <f t="shared" si="6"/>
        <v>1.2466200000000001</v>
      </c>
      <c r="M52" s="566">
        <f t="shared" si="7"/>
        <v>0</v>
      </c>
      <c r="N52" s="566">
        <f t="shared" si="8"/>
        <v>1.03806</v>
      </c>
      <c r="O52" s="707">
        <f t="shared" si="9"/>
        <v>0</v>
      </c>
      <c r="P52" s="568"/>
      <c r="Q52" s="706"/>
    </row>
    <row r="53" spans="1:17" s="291" customFormat="1" ht="13.5" thickBot="1">
      <c r="A53" s="1172"/>
      <c r="B53" s="695"/>
      <c r="C53" s="231" t="s">
        <v>111</v>
      </c>
      <c r="D53" s="232" t="s">
        <v>112</v>
      </c>
      <c r="E53" s="704">
        <v>499</v>
      </c>
      <c r="F53" s="491">
        <f t="shared" si="0"/>
        <v>299.39999999999998</v>
      </c>
      <c r="G53" s="566">
        <f t="shared" si="1"/>
        <v>0</v>
      </c>
      <c r="H53" s="566">
        <f t="shared" si="2"/>
        <v>25.299299999999999</v>
      </c>
      <c r="I53" s="566">
        <f t="shared" si="3"/>
        <v>0</v>
      </c>
      <c r="J53" s="566">
        <f t="shared" si="4"/>
        <v>9.5808</v>
      </c>
      <c r="K53" s="566">
        <f t="shared" si="5"/>
        <v>0</v>
      </c>
      <c r="L53" s="566">
        <f t="shared" si="6"/>
        <v>7.8742199999999993</v>
      </c>
      <c r="M53" s="566">
        <f t="shared" si="7"/>
        <v>0</v>
      </c>
      <c r="N53" s="566">
        <f t="shared" si="8"/>
        <v>6.5568599999999995</v>
      </c>
      <c r="O53" s="707">
        <f t="shared" si="9"/>
        <v>0</v>
      </c>
      <c r="P53" s="568"/>
      <c r="Q53" s="706"/>
    </row>
    <row r="54" spans="1:17" s="291" customFormat="1" ht="13.5" thickBot="1">
      <c r="A54" s="1172"/>
      <c r="B54" s="695"/>
      <c r="C54" s="231" t="s">
        <v>77</v>
      </c>
      <c r="D54" s="232" t="s">
        <v>169</v>
      </c>
      <c r="E54" s="704">
        <v>329</v>
      </c>
      <c r="F54" s="491">
        <f t="shared" si="0"/>
        <v>197.4</v>
      </c>
      <c r="G54" s="566">
        <f t="shared" si="1"/>
        <v>0</v>
      </c>
      <c r="H54" s="566">
        <f t="shared" si="2"/>
        <v>16.680300000000003</v>
      </c>
      <c r="I54" s="566">
        <f t="shared" si="3"/>
        <v>0</v>
      </c>
      <c r="J54" s="566">
        <f t="shared" si="4"/>
        <v>6.3168000000000006</v>
      </c>
      <c r="K54" s="566">
        <f t="shared" si="5"/>
        <v>0</v>
      </c>
      <c r="L54" s="566">
        <f t="shared" si="6"/>
        <v>5.1916200000000003</v>
      </c>
      <c r="M54" s="566">
        <f t="shared" si="7"/>
        <v>0</v>
      </c>
      <c r="N54" s="566">
        <f t="shared" si="8"/>
        <v>4.3230599999999999</v>
      </c>
      <c r="O54" s="707">
        <f t="shared" si="9"/>
        <v>0</v>
      </c>
      <c r="P54" s="568"/>
      <c r="Q54" s="706"/>
    </row>
    <row r="55" spans="1:17" s="291" customFormat="1" ht="13.5" thickBot="1">
      <c r="A55" s="1172"/>
      <c r="B55" s="695"/>
      <c r="C55" s="231" t="s">
        <v>518</v>
      </c>
      <c r="D55" s="232" t="s">
        <v>3939</v>
      </c>
      <c r="E55" s="704">
        <v>235.4</v>
      </c>
      <c r="F55" s="491">
        <f t="shared" si="0"/>
        <v>141.24</v>
      </c>
      <c r="G55" s="566">
        <f t="shared" si="1"/>
        <v>0</v>
      </c>
      <c r="H55" s="566">
        <f t="shared" si="2"/>
        <v>11.934780000000002</v>
      </c>
      <c r="I55" s="566">
        <f t="shared" si="3"/>
        <v>0</v>
      </c>
      <c r="J55" s="566">
        <f t="shared" si="4"/>
        <v>4.5196800000000001</v>
      </c>
      <c r="K55" s="566">
        <f t="shared" si="5"/>
        <v>0</v>
      </c>
      <c r="L55" s="566">
        <f t="shared" si="6"/>
        <v>3.7146120000000002</v>
      </c>
      <c r="M55" s="566">
        <f t="shared" si="7"/>
        <v>0</v>
      </c>
      <c r="N55" s="566">
        <f t="shared" si="8"/>
        <v>3.093156</v>
      </c>
      <c r="O55" s="707">
        <f t="shared" si="9"/>
        <v>0</v>
      </c>
      <c r="P55" s="568"/>
      <c r="Q55" s="706"/>
    </row>
    <row r="56" spans="1:17" s="291" customFormat="1" ht="13.5" thickBot="1">
      <c r="A56" s="1172"/>
      <c r="B56" s="695"/>
      <c r="C56" s="231" t="s">
        <v>117</v>
      </c>
      <c r="D56" s="232" t="s">
        <v>118</v>
      </c>
      <c r="E56" s="704">
        <v>999.38</v>
      </c>
      <c r="F56" s="491">
        <f t="shared" si="0"/>
        <v>599.62799999999993</v>
      </c>
      <c r="G56" s="566">
        <f t="shared" si="1"/>
        <v>0</v>
      </c>
      <c r="H56" s="566">
        <f t="shared" si="2"/>
        <v>50.668565999999998</v>
      </c>
      <c r="I56" s="566">
        <f t="shared" si="3"/>
        <v>0</v>
      </c>
      <c r="J56" s="566">
        <f t="shared" si="4"/>
        <v>19.188095999999998</v>
      </c>
      <c r="K56" s="566">
        <f t="shared" si="5"/>
        <v>0</v>
      </c>
      <c r="L56" s="566">
        <f t="shared" si="6"/>
        <v>15.770216399999999</v>
      </c>
      <c r="M56" s="566">
        <f t="shared" si="7"/>
        <v>0</v>
      </c>
      <c r="N56" s="566">
        <f t="shared" si="8"/>
        <v>13.131853199999998</v>
      </c>
      <c r="O56" s="707">
        <f t="shared" si="9"/>
        <v>0</v>
      </c>
      <c r="P56" s="568"/>
      <c r="Q56" s="706"/>
    </row>
    <row r="57" spans="1:17" s="291" customFormat="1" ht="13.5" thickBot="1">
      <c r="A57" s="1172"/>
      <c r="B57" s="695"/>
      <c r="C57" s="231" t="s">
        <v>119</v>
      </c>
      <c r="D57" s="232" t="s">
        <v>120</v>
      </c>
      <c r="E57" s="704">
        <v>222.6</v>
      </c>
      <c r="F57" s="491">
        <f t="shared" si="0"/>
        <v>133.56</v>
      </c>
      <c r="G57" s="566">
        <f t="shared" si="1"/>
        <v>0</v>
      </c>
      <c r="H57" s="566">
        <f t="shared" si="2"/>
        <v>11.285820000000001</v>
      </c>
      <c r="I57" s="566">
        <f t="shared" si="3"/>
        <v>0</v>
      </c>
      <c r="J57" s="566">
        <f t="shared" si="4"/>
        <v>4.2739200000000004</v>
      </c>
      <c r="K57" s="566">
        <f t="shared" si="5"/>
        <v>0</v>
      </c>
      <c r="L57" s="566">
        <f t="shared" si="6"/>
        <v>3.5126280000000003</v>
      </c>
      <c r="M57" s="566">
        <f t="shared" si="7"/>
        <v>0</v>
      </c>
      <c r="N57" s="566">
        <f t="shared" si="8"/>
        <v>2.9249640000000001</v>
      </c>
      <c r="O57" s="707">
        <f t="shared" si="9"/>
        <v>0</v>
      </c>
      <c r="P57" s="568"/>
      <c r="Q57" s="706"/>
    </row>
    <row r="58" spans="1:17" s="291" customFormat="1" ht="13.5" thickBot="1">
      <c r="A58" s="1172"/>
      <c r="B58" s="695"/>
      <c r="C58" s="231" t="s">
        <v>3856</v>
      </c>
      <c r="D58" s="232" t="s">
        <v>3857</v>
      </c>
      <c r="E58" s="704">
        <v>1399.56</v>
      </c>
      <c r="F58" s="491">
        <f t="shared" si="0"/>
        <v>839.73599999999999</v>
      </c>
      <c r="G58" s="566">
        <f t="shared" si="1"/>
        <v>0</v>
      </c>
      <c r="H58" s="566">
        <f t="shared" si="2"/>
        <v>70.957692000000009</v>
      </c>
      <c r="I58" s="566">
        <f t="shared" si="3"/>
        <v>0</v>
      </c>
      <c r="J58" s="566">
        <f t="shared" si="4"/>
        <v>26.871552000000001</v>
      </c>
      <c r="K58" s="566">
        <f t="shared" si="5"/>
        <v>0</v>
      </c>
      <c r="L58" s="566">
        <f t="shared" si="6"/>
        <v>22.0850568</v>
      </c>
      <c r="M58" s="566">
        <f t="shared" si="7"/>
        <v>0</v>
      </c>
      <c r="N58" s="566">
        <f t="shared" si="8"/>
        <v>18.390218399999998</v>
      </c>
      <c r="O58" s="707">
        <f t="shared" si="9"/>
        <v>0</v>
      </c>
      <c r="P58" s="568"/>
      <c r="Q58" s="706"/>
    </row>
    <row r="59" spans="1:17" s="291" customFormat="1" ht="13.5" thickBot="1">
      <c r="A59" s="1172"/>
      <c r="B59" s="695"/>
      <c r="C59" s="231" t="s">
        <v>520</v>
      </c>
      <c r="D59" s="232" t="s">
        <v>521</v>
      </c>
      <c r="E59" s="704">
        <v>1259.3900000000001</v>
      </c>
      <c r="F59" s="491">
        <f t="shared" si="0"/>
        <v>755.63400000000001</v>
      </c>
      <c r="G59" s="566">
        <f t="shared" si="1"/>
        <v>0</v>
      </c>
      <c r="H59" s="566">
        <f t="shared" si="2"/>
        <v>63.851073000000007</v>
      </c>
      <c r="I59" s="566">
        <f t="shared" si="3"/>
        <v>0</v>
      </c>
      <c r="J59" s="566">
        <f t="shared" si="4"/>
        <v>24.180288000000001</v>
      </c>
      <c r="K59" s="566">
        <f t="shared" si="5"/>
        <v>0</v>
      </c>
      <c r="L59" s="566">
        <f t="shared" si="6"/>
        <v>19.873174200000001</v>
      </c>
      <c r="M59" s="566">
        <f t="shared" si="7"/>
        <v>0</v>
      </c>
      <c r="N59" s="566">
        <f t="shared" si="8"/>
        <v>16.548384599999999</v>
      </c>
      <c r="O59" s="707">
        <f t="shared" si="9"/>
        <v>0</v>
      </c>
      <c r="P59" s="568"/>
      <c r="Q59" s="706"/>
    </row>
    <row r="60" spans="1:17" s="291" customFormat="1" ht="13.5" thickBot="1">
      <c r="A60" s="1172"/>
      <c r="B60" s="695"/>
      <c r="C60" s="231" t="s">
        <v>3940</v>
      </c>
      <c r="D60" s="232" t="s">
        <v>3941</v>
      </c>
      <c r="E60" s="704">
        <v>2272.75</v>
      </c>
      <c r="F60" s="491">
        <f t="shared" si="0"/>
        <v>1363.6499999999999</v>
      </c>
      <c r="G60" s="566">
        <f t="shared" si="1"/>
        <v>0</v>
      </c>
      <c r="H60" s="566">
        <f t="shared" si="2"/>
        <v>115.228425</v>
      </c>
      <c r="I60" s="566">
        <f t="shared" si="3"/>
        <v>0</v>
      </c>
      <c r="J60" s="566">
        <f t="shared" si="4"/>
        <v>43.636799999999994</v>
      </c>
      <c r="K60" s="566">
        <f t="shared" si="5"/>
        <v>0</v>
      </c>
      <c r="L60" s="566">
        <f t="shared" si="6"/>
        <v>35.863994999999996</v>
      </c>
      <c r="M60" s="566">
        <f t="shared" si="7"/>
        <v>0</v>
      </c>
      <c r="N60" s="566">
        <f t="shared" si="8"/>
        <v>29.863934999999994</v>
      </c>
      <c r="O60" s="707">
        <f t="shared" si="9"/>
        <v>0</v>
      </c>
      <c r="P60" s="568"/>
      <c r="Q60" s="706"/>
    </row>
    <row r="61" spans="1:17" s="291" customFormat="1" ht="26.25" thickBot="1">
      <c r="A61" s="1172"/>
      <c r="B61" s="695"/>
      <c r="C61" s="231" t="s">
        <v>3942</v>
      </c>
      <c r="D61" s="232" t="s">
        <v>3943</v>
      </c>
      <c r="E61" s="704">
        <v>4108.8</v>
      </c>
      <c r="F61" s="491">
        <f t="shared" si="0"/>
        <v>2465.2800000000002</v>
      </c>
      <c r="G61" s="566">
        <f t="shared" si="1"/>
        <v>0</v>
      </c>
      <c r="H61" s="566">
        <f t="shared" si="2"/>
        <v>208.31616000000002</v>
      </c>
      <c r="I61" s="566">
        <f t="shared" si="3"/>
        <v>0</v>
      </c>
      <c r="J61" s="566">
        <f t="shared" si="4"/>
        <v>78.888960000000012</v>
      </c>
      <c r="K61" s="566">
        <f t="shared" si="5"/>
        <v>0</v>
      </c>
      <c r="L61" s="566">
        <f t="shared" si="6"/>
        <v>64.836864000000006</v>
      </c>
      <c r="M61" s="566">
        <f t="shared" si="7"/>
        <v>0</v>
      </c>
      <c r="N61" s="566">
        <f t="shared" si="8"/>
        <v>53.989632</v>
      </c>
      <c r="O61" s="707">
        <f t="shared" si="9"/>
        <v>0</v>
      </c>
      <c r="P61" s="568"/>
      <c r="Q61" s="706"/>
    </row>
    <row r="62" spans="1:17" s="291" customFormat="1" ht="26.25" thickBot="1">
      <c r="A62" s="1172"/>
      <c r="B62" s="695"/>
      <c r="C62" s="231" t="s">
        <v>3954</v>
      </c>
      <c r="D62" s="232" t="s">
        <v>3944</v>
      </c>
      <c r="E62" s="704">
        <v>4019.99</v>
      </c>
      <c r="F62" s="491">
        <f t="shared" si="0"/>
        <v>2411.9939999999997</v>
      </c>
      <c r="G62" s="566">
        <f t="shared" si="1"/>
        <v>0</v>
      </c>
      <c r="H62" s="566">
        <f t="shared" si="2"/>
        <v>203.81349299999999</v>
      </c>
      <c r="I62" s="566">
        <f t="shared" si="3"/>
        <v>0</v>
      </c>
      <c r="J62" s="566">
        <f t="shared" si="4"/>
        <v>77.183807999999985</v>
      </c>
      <c r="K62" s="566">
        <f t="shared" si="5"/>
        <v>0</v>
      </c>
      <c r="L62" s="566">
        <f t="shared" si="6"/>
        <v>63.43544219999999</v>
      </c>
      <c r="M62" s="566">
        <f t="shared" si="7"/>
        <v>0</v>
      </c>
      <c r="N62" s="566">
        <f t="shared" si="8"/>
        <v>52.822668599999993</v>
      </c>
      <c r="O62" s="707">
        <f t="shared" si="9"/>
        <v>0</v>
      </c>
      <c r="P62" s="568"/>
      <c r="Q62" s="706"/>
    </row>
    <row r="63" spans="1:17" s="291" customFormat="1" ht="26.25" thickBot="1">
      <c r="A63" s="1172"/>
      <c r="B63" s="695"/>
      <c r="C63" s="231" t="s">
        <v>3953</v>
      </c>
      <c r="D63" s="232" t="s">
        <v>3945</v>
      </c>
      <c r="E63" s="704">
        <v>5761.95</v>
      </c>
      <c r="F63" s="491">
        <f t="shared" si="0"/>
        <v>3457.1699999999996</v>
      </c>
      <c r="G63" s="566">
        <f t="shared" si="1"/>
        <v>0</v>
      </c>
      <c r="H63" s="566">
        <f t="shared" si="2"/>
        <v>292.13086499999997</v>
      </c>
      <c r="I63" s="566">
        <f t="shared" si="3"/>
        <v>0</v>
      </c>
      <c r="J63" s="566">
        <f t="shared" si="4"/>
        <v>110.62943999999999</v>
      </c>
      <c r="K63" s="566">
        <f t="shared" si="5"/>
        <v>0</v>
      </c>
      <c r="L63" s="566">
        <f t="shared" si="6"/>
        <v>90.923570999999995</v>
      </c>
      <c r="M63" s="566">
        <f t="shared" si="7"/>
        <v>0</v>
      </c>
      <c r="N63" s="566">
        <f t="shared" si="8"/>
        <v>75.712022999999988</v>
      </c>
      <c r="O63" s="707">
        <f t="shared" si="9"/>
        <v>0</v>
      </c>
      <c r="P63" s="568"/>
      <c r="Q63" s="706"/>
    </row>
    <row r="64" spans="1:17" s="291" customFormat="1" ht="13.5" thickBot="1">
      <c r="A64" s="1172"/>
      <c r="B64" s="695"/>
      <c r="C64" s="231" t="s">
        <v>366</v>
      </c>
      <c r="D64" s="232" t="s">
        <v>367</v>
      </c>
      <c r="E64" s="704">
        <v>588.5</v>
      </c>
      <c r="F64" s="491">
        <f t="shared" si="0"/>
        <v>353.09999999999997</v>
      </c>
      <c r="G64" s="566">
        <f t="shared" si="1"/>
        <v>0</v>
      </c>
      <c r="H64" s="566">
        <f t="shared" si="2"/>
        <v>29.836949999999998</v>
      </c>
      <c r="I64" s="566">
        <f t="shared" si="3"/>
        <v>0</v>
      </c>
      <c r="J64" s="566">
        <f t="shared" si="4"/>
        <v>11.299199999999999</v>
      </c>
      <c r="K64" s="566">
        <f t="shared" si="5"/>
        <v>0</v>
      </c>
      <c r="L64" s="566">
        <f t="shared" si="6"/>
        <v>9.2865299999999991</v>
      </c>
      <c r="M64" s="566">
        <f t="shared" si="7"/>
        <v>0</v>
      </c>
      <c r="N64" s="566">
        <f t="shared" si="8"/>
        <v>7.7328899999999994</v>
      </c>
      <c r="O64" s="707">
        <f t="shared" si="9"/>
        <v>0</v>
      </c>
      <c r="P64" s="568"/>
      <c r="Q64" s="706"/>
    </row>
    <row r="65" spans="1:17" s="291" customFormat="1" ht="13.5" thickBot="1">
      <c r="A65" s="1172"/>
      <c r="B65" s="695"/>
      <c r="C65" s="231" t="s">
        <v>522</v>
      </c>
      <c r="D65" s="232" t="s">
        <v>3946</v>
      </c>
      <c r="E65" s="704">
        <v>101.65</v>
      </c>
      <c r="F65" s="491">
        <f t="shared" si="0"/>
        <v>60.99</v>
      </c>
      <c r="G65" s="566">
        <f t="shared" si="1"/>
        <v>0</v>
      </c>
      <c r="H65" s="566">
        <f t="shared" si="2"/>
        <v>5.1536550000000005</v>
      </c>
      <c r="I65" s="566">
        <f t="shared" si="3"/>
        <v>0</v>
      </c>
      <c r="J65" s="566">
        <f t="shared" si="4"/>
        <v>1.9516800000000001</v>
      </c>
      <c r="K65" s="566">
        <f t="shared" si="5"/>
        <v>0</v>
      </c>
      <c r="L65" s="566">
        <f t="shared" si="6"/>
        <v>1.6040370000000002</v>
      </c>
      <c r="M65" s="566">
        <f t="shared" si="7"/>
        <v>0</v>
      </c>
      <c r="N65" s="566">
        <f t="shared" si="8"/>
        <v>1.3356809999999999</v>
      </c>
      <c r="O65" s="707">
        <f t="shared" si="9"/>
        <v>0</v>
      </c>
      <c r="P65" s="568"/>
      <c r="Q65" s="706"/>
    </row>
    <row r="66" spans="1:17" s="291" customFormat="1" ht="13.5" thickBot="1">
      <c r="A66" s="1172"/>
      <c r="B66" s="695"/>
      <c r="C66" s="231" t="s">
        <v>3865</v>
      </c>
      <c r="D66" s="232" t="s">
        <v>3866</v>
      </c>
      <c r="E66" s="704">
        <v>145.52000000000001</v>
      </c>
      <c r="F66" s="491">
        <f>E66*(1-40%)</f>
        <v>87.311999999999998</v>
      </c>
      <c r="G66" s="566">
        <f>F66*B66</f>
        <v>0</v>
      </c>
      <c r="H66" s="566">
        <f>F66*0.0845</f>
        <v>7.3778640000000006</v>
      </c>
      <c r="I66" s="566">
        <f>H66*B66</f>
        <v>0</v>
      </c>
      <c r="J66" s="566">
        <f>F66*0.032</f>
        <v>2.793984</v>
      </c>
      <c r="K66" s="566">
        <f>J66*B66</f>
        <v>0</v>
      </c>
      <c r="L66" s="566">
        <f>F66*0.0263</f>
        <v>2.2963056000000002</v>
      </c>
      <c r="M66" s="566">
        <f>L66*B66</f>
        <v>0</v>
      </c>
      <c r="N66" s="566">
        <f>F66*0.0219</f>
        <v>1.9121328</v>
      </c>
      <c r="O66" s="707">
        <f>N66*B66</f>
        <v>0</v>
      </c>
      <c r="P66" s="568"/>
      <c r="Q66" s="706"/>
    </row>
    <row r="67" spans="1:17" s="291" customFormat="1" ht="13.5" thickBot="1">
      <c r="A67" s="1172"/>
      <c r="B67" s="695"/>
      <c r="C67" s="231" t="s">
        <v>127</v>
      </c>
      <c r="D67" s="232" t="s">
        <v>3947</v>
      </c>
      <c r="E67" s="704">
        <v>148.72999999999999</v>
      </c>
      <c r="F67" s="491">
        <f>E67*(1-40%)</f>
        <v>89.237999999999985</v>
      </c>
      <c r="G67" s="566">
        <f>F67*B67</f>
        <v>0</v>
      </c>
      <c r="H67" s="566">
        <f>F67*0.0845</f>
        <v>7.5406109999999993</v>
      </c>
      <c r="I67" s="566">
        <f>H67*B67</f>
        <v>0</v>
      </c>
      <c r="J67" s="566">
        <f>F67*0.032</f>
        <v>2.8556159999999995</v>
      </c>
      <c r="K67" s="566">
        <f>J67*B67</f>
        <v>0</v>
      </c>
      <c r="L67" s="566">
        <f>F67*0.0263</f>
        <v>2.3469593999999998</v>
      </c>
      <c r="M67" s="566">
        <f>L67*B67</f>
        <v>0</v>
      </c>
      <c r="N67" s="566">
        <f>F67*0.0219</f>
        <v>1.9543121999999997</v>
      </c>
      <c r="O67" s="707">
        <f>N67*B67</f>
        <v>0</v>
      </c>
      <c r="P67" s="568"/>
      <c r="Q67" s="706"/>
    </row>
    <row r="68" spans="1:17" s="291" customFormat="1" ht="26.25" thickBot="1">
      <c r="A68" s="1172"/>
      <c r="B68" s="695"/>
      <c r="C68" s="231" t="s">
        <v>129</v>
      </c>
      <c r="D68" s="232" t="s">
        <v>171</v>
      </c>
      <c r="E68" s="704">
        <v>785</v>
      </c>
      <c r="F68" s="491">
        <f t="shared" si="0"/>
        <v>471</v>
      </c>
      <c r="G68" s="566">
        <f t="shared" si="1"/>
        <v>0</v>
      </c>
      <c r="H68" s="566">
        <f t="shared" si="2"/>
        <v>39.799500000000002</v>
      </c>
      <c r="I68" s="566">
        <f t="shared" si="3"/>
        <v>0</v>
      </c>
      <c r="J68" s="566">
        <f t="shared" si="4"/>
        <v>15.072000000000001</v>
      </c>
      <c r="K68" s="566">
        <f t="shared" si="5"/>
        <v>0</v>
      </c>
      <c r="L68" s="566">
        <f t="shared" si="6"/>
        <v>12.3873</v>
      </c>
      <c r="M68" s="566">
        <f t="shared" si="7"/>
        <v>0</v>
      </c>
      <c r="N68" s="566">
        <f t="shared" si="8"/>
        <v>10.3149</v>
      </c>
      <c r="O68" s="707">
        <f t="shared" si="9"/>
        <v>0</v>
      </c>
      <c r="P68" s="568"/>
      <c r="Q68" s="706"/>
    </row>
    <row r="69" spans="1:17" s="291" customFormat="1" ht="13.5" thickBot="1">
      <c r="A69" s="1172"/>
      <c r="B69" s="695"/>
      <c r="C69" s="231" t="s">
        <v>131</v>
      </c>
      <c r="D69" s="232" t="s">
        <v>172</v>
      </c>
      <c r="E69" s="704">
        <v>821</v>
      </c>
      <c r="F69" s="491">
        <f t="shared" si="0"/>
        <v>492.59999999999997</v>
      </c>
      <c r="G69" s="566">
        <f t="shared" si="1"/>
        <v>0</v>
      </c>
      <c r="H69" s="566">
        <f t="shared" si="2"/>
        <v>41.624699999999997</v>
      </c>
      <c r="I69" s="566">
        <f t="shared" si="3"/>
        <v>0</v>
      </c>
      <c r="J69" s="566">
        <f t="shared" si="4"/>
        <v>15.763199999999999</v>
      </c>
      <c r="K69" s="566">
        <f t="shared" si="5"/>
        <v>0</v>
      </c>
      <c r="L69" s="566">
        <f t="shared" si="6"/>
        <v>12.95538</v>
      </c>
      <c r="M69" s="566">
        <f t="shared" si="7"/>
        <v>0</v>
      </c>
      <c r="N69" s="566">
        <f t="shared" si="8"/>
        <v>10.787939999999999</v>
      </c>
      <c r="O69" s="707">
        <f t="shared" si="9"/>
        <v>0</v>
      </c>
      <c r="P69" s="568"/>
      <c r="Q69" s="706"/>
    </row>
    <row r="70" spans="1:17" s="291" customFormat="1" ht="13.5" thickBot="1">
      <c r="A70" s="1172"/>
      <c r="B70" s="695"/>
      <c r="C70" s="231" t="s">
        <v>133</v>
      </c>
      <c r="D70" s="232" t="s">
        <v>134</v>
      </c>
      <c r="E70" s="704">
        <v>690</v>
      </c>
      <c r="F70" s="491">
        <f t="shared" si="0"/>
        <v>414</v>
      </c>
      <c r="G70" s="566">
        <f t="shared" si="1"/>
        <v>0</v>
      </c>
      <c r="H70" s="566">
        <f t="shared" si="2"/>
        <v>34.983000000000004</v>
      </c>
      <c r="I70" s="566">
        <f t="shared" si="3"/>
        <v>0</v>
      </c>
      <c r="J70" s="566">
        <f t="shared" si="4"/>
        <v>13.248000000000001</v>
      </c>
      <c r="K70" s="566">
        <f t="shared" si="5"/>
        <v>0</v>
      </c>
      <c r="L70" s="566">
        <f t="shared" si="6"/>
        <v>10.888199999999999</v>
      </c>
      <c r="M70" s="566">
        <f t="shared" si="7"/>
        <v>0</v>
      </c>
      <c r="N70" s="566">
        <f t="shared" si="8"/>
        <v>9.0665999999999993</v>
      </c>
      <c r="O70" s="707">
        <f t="shared" si="9"/>
        <v>0</v>
      </c>
      <c r="P70" s="568"/>
      <c r="Q70" s="706"/>
    </row>
    <row r="71" spans="1:17" s="291" customFormat="1" ht="13.5" thickBot="1">
      <c r="A71" s="1172"/>
      <c r="B71" s="695"/>
      <c r="C71" s="231" t="s">
        <v>135</v>
      </c>
      <c r="D71" s="232" t="s">
        <v>136</v>
      </c>
      <c r="E71" s="704">
        <v>191</v>
      </c>
      <c r="F71" s="491">
        <f t="shared" si="0"/>
        <v>114.6</v>
      </c>
      <c r="G71" s="566">
        <f t="shared" si="1"/>
        <v>0</v>
      </c>
      <c r="H71" s="566">
        <f t="shared" si="2"/>
        <v>9.6837</v>
      </c>
      <c r="I71" s="566">
        <f t="shared" si="3"/>
        <v>0</v>
      </c>
      <c r="J71" s="566">
        <f t="shared" si="4"/>
        <v>3.6671999999999998</v>
      </c>
      <c r="K71" s="566">
        <f t="shared" si="5"/>
        <v>0</v>
      </c>
      <c r="L71" s="566">
        <f t="shared" si="6"/>
        <v>3.0139800000000001</v>
      </c>
      <c r="M71" s="566">
        <f t="shared" si="7"/>
        <v>0</v>
      </c>
      <c r="N71" s="566">
        <f t="shared" si="8"/>
        <v>2.5097399999999999</v>
      </c>
      <c r="O71" s="707">
        <f t="shared" si="9"/>
        <v>0</v>
      </c>
      <c r="P71" s="568"/>
      <c r="Q71" s="706"/>
    </row>
    <row r="72" spans="1:17" s="291" customFormat="1" ht="26.25" thickBot="1">
      <c r="A72" s="1172"/>
      <c r="B72" s="695"/>
      <c r="C72" s="496" t="s">
        <v>137</v>
      </c>
      <c r="D72" s="232" t="s">
        <v>3867</v>
      </c>
      <c r="E72" s="704">
        <v>667.8</v>
      </c>
      <c r="F72" s="491">
        <f t="shared" si="0"/>
        <v>400.67999999999995</v>
      </c>
      <c r="G72" s="566">
        <f t="shared" si="1"/>
        <v>0</v>
      </c>
      <c r="H72" s="566">
        <f t="shared" si="2"/>
        <v>33.857459999999996</v>
      </c>
      <c r="I72" s="566">
        <f t="shared" si="3"/>
        <v>0</v>
      </c>
      <c r="J72" s="566">
        <f t="shared" si="4"/>
        <v>12.821759999999999</v>
      </c>
      <c r="K72" s="566">
        <f t="shared" si="5"/>
        <v>0</v>
      </c>
      <c r="L72" s="566">
        <f t="shared" si="6"/>
        <v>10.537883999999998</v>
      </c>
      <c r="M72" s="566">
        <f t="shared" si="7"/>
        <v>0</v>
      </c>
      <c r="N72" s="566">
        <f t="shared" si="8"/>
        <v>8.7748919999999995</v>
      </c>
      <c r="O72" s="707">
        <f t="shared" si="9"/>
        <v>0</v>
      </c>
      <c r="P72" s="568"/>
      <c r="Q72" s="706"/>
    </row>
    <row r="73" spans="1:17" s="291" customFormat="1" ht="26.25" thickBot="1">
      <c r="A73" s="1172"/>
      <c r="B73" s="695"/>
      <c r="C73" s="496" t="s">
        <v>139</v>
      </c>
      <c r="D73" s="232" t="s">
        <v>140</v>
      </c>
      <c r="E73" s="704">
        <v>250</v>
      </c>
      <c r="F73" s="491">
        <f t="shared" si="0"/>
        <v>150</v>
      </c>
      <c r="G73" s="566">
        <f t="shared" si="1"/>
        <v>0</v>
      </c>
      <c r="H73" s="566">
        <f t="shared" si="2"/>
        <v>12.675000000000001</v>
      </c>
      <c r="I73" s="566">
        <f t="shared" si="3"/>
        <v>0</v>
      </c>
      <c r="J73" s="566">
        <f t="shared" si="4"/>
        <v>4.8</v>
      </c>
      <c r="K73" s="566">
        <f t="shared" si="5"/>
        <v>0</v>
      </c>
      <c r="L73" s="566">
        <f t="shared" si="6"/>
        <v>3.9450000000000003</v>
      </c>
      <c r="M73" s="566">
        <f t="shared" si="7"/>
        <v>0</v>
      </c>
      <c r="N73" s="566">
        <f t="shared" si="8"/>
        <v>3.2849999999999997</v>
      </c>
      <c r="O73" s="707">
        <f t="shared" si="9"/>
        <v>0</v>
      </c>
      <c r="P73" s="568"/>
      <c r="Q73" s="706"/>
    </row>
    <row r="74" spans="1:17" s="291" customFormat="1" ht="13.5" thickBot="1">
      <c r="A74" s="1172"/>
      <c r="B74" s="695"/>
      <c r="C74" s="231" t="s">
        <v>141</v>
      </c>
      <c r="D74" s="232" t="s">
        <v>3948</v>
      </c>
      <c r="E74" s="704">
        <v>250</v>
      </c>
      <c r="F74" s="491">
        <f t="shared" si="0"/>
        <v>150</v>
      </c>
      <c r="G74" s="566">
        <f t="shared" si="1"/>
        <v>0</v>
      </c>
      <c r="H74" s="566">
        <f t="shared" si="2"/>
        <v>12.675000000000001</v>
      </c>
      <c r="I74" s="566">
        <f t="shared" si="3"/>
        <v>0</v>
      </c>
      <c r="J74" s="566">
        <f t="shared" si="4"/>
        <v>4.8</v>
      </c>
      <c r="K74" s="566">
        <f t="shared" si="5"/>
        <v>0</v>
      </c>
      <c r="L74" s="566">
        <f t="shared" si="6"/>
        <v>3.9450000000000003</v>
      </c>
      <c r="M74" s="566">
        <f t="shared" si="7"/>
        <v>0</v>
      </c>
      <c r="N74" s="566">
        <f t="shared" si="8"/>
        <v>3.2849999999999997</v>
      </c>
      <c r="O74" s="707">
        <f t="shared" si="9"/>
        <v>0</v>
      </c>
      <c r="P74" s="568"/>
      <c r="Q74" s="706"/>
    </row>
    <row r="75" spans="1:17" s="291" customFormat="1" ht="13.5" thickBot="1">
      <c r="A75" s="1172"/>
      <c r="B75" s="695"/>
      <c r="C75" s="231" t="s">
        <v>469</v>
      </c>
      <c r="D75" s="232" t="s">
        <v>470</v>
      </c>
      <c r="E75" s="704">
        <v>3919.41</v>
      </c>
      <c r="F75" s="491">
        <f t="shared" si="0"/>
        <v>2351.6459999999997</v>
      </c>
      <c r="G75" s="566">
        <f t="shared" si="1"/>
        <v>0</v>
      </c>
      <c r="H75" s="566">
        <f t="shared" si="2"/>
        <v>198.71408699999998</v>
      </c>
      <c r="I75" s="566">
        <f t="shared" si="3"/>
        <v>0</v>
      </c>
      <c r="J75" s="566">
        <f t="shared" si="4"/>
        <v>75.25267199999999</v>
      </c>
      <c r="K75" s="566">
        <f t="shared" si="5"/>
        <v>0</v>
      </c>
      <c r="L75" s="566">
        <f t="shared" si="6"/>
        <v>61.848289799999996</v>
      </c>
      <c r="M75" s="566">
        <f t="shared" si="7"/>
        <v>0</v>
      </c>
      <c r="N75" s="566">
        <f t="shared" si="8"/>
        <v>51.50104739999999</v>
      </c>
      <c r="O75" s="707">
        <f t="shared" si="9"/>
        <v>0</v>
      </c>
      <c r="P75" s="568"/>
      <c r="Q75" s="706"/>
    </row>
    <row r="76" spans="1:17" s="291" customFormat="1" ht="13.5" thickBot="1">
      <c r="A76" s="1172"/>
      <c r="B76" s="695"/>
      <c r="C76" s="231" t="s">
        <v>471</v>
      </c>
      <c r="D76" s="232" t="s">
        <v>472</v>
      </c>
      <c r="E76" s="704">
        <v>2083.29</v>
      </c>
      <c r="F76" s="491">
        <f t="shared" si="0"/>
        <v>1249.9739999999999</v>
      </c>
      <c r="G76" s="566">
        <f t="shared" si="1"/>
        <v>0</v>
      </c>
      <c r="H76" s="566">
        <f t="shared" si="2"/>
        <v>105.622803</v>
      </c>
      <c r="I76" s="566">
        <f t="shared" si="3"/>
        <v>0</v>
      </c>
      <c r="J76" s="566">
        <f t="shared" si="4"/>
        <v>39.999167999999997</v>
      </c>
      <c r="K76" s="566">
        <f t="shared" si="5"/>
        <v>0</v>
      </c>
      <c r="L76" s="566">
        <f t="shared" si="6"/>
        <v>32.874316199999996</v>
      </c>
      <c r="M76" s="566">
        <f t="shared" si="7"/>
        <v>0</v>
      </c>
      <c r="N76" s="566">
        <f t="shared" si="8"/>
        <v>27.374430599999997</v>
      </c>
      <c r="O76" s="707">
        <f t="shared" si="9"/>
        <v>0</v>
      </c>
      <c r="P76" s="568"/>
      <c r="Q76" s="706"/>
    </row>
    <row r="77" spans="1:17" s="291" customFormat="1" ht="13.5" thickBot="1">
      <c r="A77" s="1172"/>
      <c r="B77" s="695"/>
      <c r="C77" s="231" t="s">
        <v>523</v>
      </c>
      <c r="D77" s="232" t="s">
        <v>524</v>
      </c>
      <c r="E77" s="704">
        <v>1915.3</v>
      </c>
      <c r="F77" s="491">
        <f t="shared" si="0"/>
        <v>1149.1799999999998</v>
      </c>
      <c r="G77" s="566">
        <f t="shared" si="1"/>
        <v>0</v>
      </c>
      <c r="H77" s="566">
        <f t="shared" si="2"/>
        <v>97.105709999999988</v>
      </c>
      <c r="I77" s="566">
        <f t="shared" si="3"/>
        <v>0</v>
      </c>
      <c r="J77" s="566">
        <f t="shared" si="4"/>
        <v>36.773759999999996</v>
      </c>
      <c r="K77" s="566">
        <f t="shared" si="5"/>
        <v>0</v>
      </c>
      <c r="L77" s="566">
        <f t="shared" si="6"/>
        <v>30.223433999999997</v>
      </c>
      <c r="M77" s="566">
        <f t="shared" si="7"/>
        <v>0</v>
      </c>
      <c r="N77" s="566">
        <f t="shared" si="8"/>
        <v>25.167041999999995</v>
      </c>
      <c r="O77" s="707">
        <f t="shared" si="9"/>
        <v>0</v>
      </c>
      <c r="P77" s="568"/>
      <c r="Q77" s="706"/>
    </row>
    <row r="78" spans="1:17" s="291" customFormat="1" ht="26.25" thickBot="1">
      <c r="A78" s="1172"/>
      <c r="B78" s="695"/>
      <c r="C78" s="231" t="s">
        <v>218</v>
      </c>
      <c r="D78" s="232" t="s">
        <v>253</v>
      </c>
      <c r="E78" s="704">
        <v>70.62</v>
      </c>
      <c r="F78" s="491">
        <f t="shared" si="0"/>
        <v>42.372</v>
      </c>
      <c r="G78" s="566">
        <f t="shared" si="1"/>
        <v>0</v>
      </c>
      <c r="H78" s="566">
        <f t="shared" si="2"/>
        <v>3.5804340000000003</v>
      </c>
      <c r="I78" s="566">
        <f t="shared" si="3"/>
        <v>0</v>
      </c>
      <c r="J78" s="566">
        <f t="shared" si="4"/>
        <v>1.355904</v>
      </c>
      <c r="K78" s="566">
        <f t="shared" si="5"/>
        <v>0</v>
      </c>
      <c r="L78" s="566">
        <f t="shared" si="6"/>
        <v>1.1143836</v>
      </c>
      <c r="M78" s="566">
        <f t="shared" si="7"/>
        <v>0</v>
      </c>
      <c r="N78" s="566">
        <f t="shared" si="8"/>
        <v>0.92794679999999996</v>
      </c>
      <c r="O78" s="707">
        <f t="shared" si="9"/>
        <v>0</v>
      </c>
      <c r="P78" s="568"/>
      <c r="Q78" s="706"/>
    </row>
    <row r="79" spans="1:17" s="291" customFormat="1" ht="13.5" thickBot="1">
      <c r="A79" s="1172"/>
      <c r="B79" s="695"/>
      <c r="C79" s="231" t="s">
        <v>525</v>
      </c>
      <c r="D79" s="232" t="s">
        <v>526</v>
      </c>
      <c r="E79" s="704">
        <v>529.65</v>
      </c>
      <c r="F79" s="491">
        <f t="shared" si="0"/>
        <v>317.78999999999996</v>
      </c>
      <c r="G79" s="566">
        <f t="shared" si="1"/>
        <v>0</v>
      </c>
      <c r="H79" s="566">
        <f t="shared" si="2"/>
        <v>26.853254999999997</v>
      </c>
      <c r="I79" s="566">
        <f t="shared" si="3"/>
        <v>0</v>
      </c>
      <c r="J79" s="566">
        <f t="shared" si="4"/>
        <v>10.169279999999999</v>
      </c>
      <c r="K79" s="566">
        <f t="shared" si="5"/>
        <v>0</v>
      </c>
      <c r="L79" s="566">
        <f t="shared" si="6"/>
        <v>8.3578769999999984</v>
      </c>
      <c r="M79" s="566">
        <f t="shared" si="7"/>
        <v>0</v>
      </c>
      <c r="N79" s="566">
        <f t="shared" si="8"/>
        <v>6.9596009999999993</v>
      </c>
      <c r="O79" s="707">
        <f t="shared" si="9"/>
        <v>0</v>
      </c>
      <c r="P79" s="568"/>
      <c r="Q79" s="706"/>
    </row>
    <row r="80" spans="1:17" s="291" customFormat="1" ht="13.5" thickBot="1">
      <c r="A80" s="1172"/>
      <c r="B80" s="695"/>
      <c r="C80" s="231" t="s">
        <v>528</v>
      </c>
      <c r="D80" s="232" t="s">
        <v>3912</v>
      </c>
      <c r="E80" s="704">
        <v>1306.47</v>
      </c>
      <c r="F80" s="491">
        <f t="shared" si="0"/>
        <v>783.88199999999995</v>
      </c>
      <c r="G80" s="566">
        <f t="shared" si="1"/>
        <v>0</v>
      </c>
      <c r="H80" s="566">
        <f t="shared" si="2"/>
        <v>66.238028999999997</v>
      </c>
      <c r="I80" s="566">
        <f t="shared" si="3"/>
        <v>0</v>
      </c>
      <c r="J80" s="566">
        <f t="shared" si="4"/>
        <v>25.084223999999999</v>
      </c>
      <c r="K80" s="566">
        <f t="shared" si="5"/>
        <v>0</v>
      </c>
      <c r="L80" s="566">
        <f t="shared" si="6"/>
        <v>20.616096599999999</v>
      </c>
      <c r="M80" s="566">
        <f t="shared" si="7"/>
        <v>0</v>
      </c>
      <c r="N80" s="566">
        <f t="shared" si="8"/>
        <v>17.167015799999998</v>
      </c>
      <c r="O80" s="707">
        <f t="shared" si="9"/>
        <v>0</v>
      </c>
      <c r="P80" s="568"/>
      <c r="Q80" s="706"/>
    </row>
    <row r="81" spans="1:17" s="291" customFormat="1" ht="26.25" thickBot="1">
      <c r="A81" s="1172"/>
      <c r="B81" s="695"/>
      <c r="C81" s="231" t="s">
        <v>256</v>
      </c>
      <c r="D81" s="232" t="s">
        <v>3875</v>
      </c>
      <c r="E81" s="704">
        <v>690.15</v>
      </c>
      <c r="F81" s="491">
        <f t="shared" si="0"/>
        <v>414.09</v>
      </c>
      <c r="G81" s="566">
        <f t="shared" si="1"/>
        <v>0</v>
      </c>
      <c r="H81" s="566">
        <f t="shared" si="2"/>
        <v>34.990605000000002</v>
      </c>
      <c r="I81" s="566">
        <f t="shared" si="3"/>
        <v>0</v>
      </c>
      <c r="J81" s="566">
        <f t="shared" si="4"/>
        <v>13.250879999999999</v>
      </c>
      <c r="K81" s="566">
        <f t="shared" si="5"/>
        <v>0</v>
      </c>
      <c r="L81" s="566">
        <f t="shared" si="6"/>
        <v>10.890566999999999</v>
      </c>
      <c r="M81" s="566">
        <f t="shared" si="7"/>
        <v>0</v>
      </c>
      <c r="N81" s="566">
        <f t="shared" si="8"/>
        <v>9.0685709999999986</v>
      </c>
      <c r="O81" s="707">
        <f t="shared" si="9"/>
        <v>0</v>
      </c>
      <c r="P81" s="568"/>
      <c r="Q81" s="706"/>
    </row>
    <row r="82" spans="1:17" s="291" customFormat="1" ht="26.25" thickBot="1">
      <c r="A82" s="1172"/>
      <c r="B82" s="695"/>
      <c r="C82" s="231" t="s">
        <v>368</v>
      </c>
      <c r="D82" s="232" t="s">
        <v>434</v>
      </c>
      <c r="E82" s="704">
        <v>1000.45</v>
      </c>
      <c r="F82" s="491">
        <f t="shared" si="0"/>
        <v>600.27</v>
      </c>
      <c r="G82" s="566">
        <f t="shared" si="1"/>
        <v>0</v>
      </c>
      <c r="H82" s="566">
        <f t="shared" si="2"/>
        <v>50.722815000000004</v>
      </c>
      <c r="I82" s="566">
        <f t="shared" si="3"/>
        <v>0</v>
      </c>
      <c r="J82" s="566">
        <f t="shared" si="4"/>
        <v>19.208639999999999</v>
      </c>
      <c r="K82" s="566">
        <f t="shared" si="5"/>
        <v>0</v>
      </c>
      <c r="L82" s="566">
        <f t="shared" si="6"/>
        <v>15.787101</v>
      </c>
      <c r="M82" s="566">
        <f t="shared" si="7"/>
        <v>0</v>
      </c>
      <c r="N82" s="566">
        <f t="shared" si="8"/>
        <v>13.145912999999998</v>
      </c>
      <c r="O82" s="707">
        <f t="shared" si="9"/>
        <v>0</v>
      </c>
      <c r="P82" s="568"/>
      <c r="Q82" s="706"/>
    </row>
    <row r="83" spans="1:17" s="291" customFormat="1" ht="13.5" thickBot="1">
      <c r="A83" s="1172"/>
      <c r="B83" s="695"/>
      <c r="C83" s="231" t="s">
        <v>529</v>
      </c>
      <c r="D83" s="232" t="s">
        <v>3949</v>
      </c>
      <c r="E83" s="704">
        <v>1442.36</v>
      </c>
      <c r="F83" s="491">
        <f t="shared" si="0"/>
        <v>865.41599999999994</v>
      </c>
      <c r="G83" s="566">
        <f t="shared" si="1"/>
        <v>0</v>
      </c>
      <c r="H83" s="566">
        <f t="shared" si="2"/>
        <v>73.127651999999998</v>
      </c>
      <c r="I83" s="566">
        <f t="shared" si="3"/>
        <v>0</v>
      </c>
      <c r="J83" s="566">
        <f t="shared" si="4"/>
        <v>27.693311999999999</v>
      </c>
      <c r="K83" s="566">
        <f t="shared" si="5"/>
        <v>0</v>
      </c>
      <c r="L83" s="566">
        <f t="shared" si="6"/>
        <v>22.760440799999998</v>
      </c>
      <c r="M83" s="566">
        <f t="shared" si="7"/>
        <v>0</v>
      </c>
      <c r="N83" s="566">
        <f t="shared" si="8"/>
        <v>18.952610399999998</v>
      </c>
      <c r="O83" s="707">
        <f t="shared" si="9"/>
        <v>0</v>
      </c>
      <c r="P83" s="568"/>
      <c r="Q83" s="706"/>
    </row>
    <row r="84" spans="1:17" s="291" customFormat="1" ht="13.5" thickBot="1">
      <c r="A84" s="1172"/>
      <c r="B84" s="695"/>
      <c r="C84" s="231" t="s">
        <v>258</v>
      </c>
      <c r="D84" s="232" t="s">
        <v>223</v>
      </c>
      <c r="E84" s="704">
        <v>56.71</v>
      </c>
      <c r="F84" s="491">
        <f t="shared" si="0"/>
        <v>34.025999999999996</v>
      </c>
      <c r="G84" s="566">
        <f t="shared" si="1"/>
        <v>0</v>
      </c>
      <c r="H84" s="566">
        <f t="shared" si="2"/>
        <v>2.875197</v>
      </c>
      <c r="I84" s="566">
        <f t="shared" si="3"/>
        <v>0</v>
      </c>
      <c r="J84" s="566">
        <f t="shared" si="4"/>
        <v>1.0888319999999998</v>
      </c>
      <c r="K84" s="566">
        <f t="shared" si="5"/>
        <v>0</v>
      </c>
      <c r="L84" s="566">
        <f t="shared" si="6"/>
        <v>0.8948837999999999</v>
      </c>
      <c r="M84" s="566">
        <f t="shared" si="7"/>
        <v>0</v>
      </c>
      <c r="N84" s="566">
        <f t="shared" si="8"/>
        <v>0.74516939999999987</v>
      </c>
      <c r="O84" s="707">
        <f t="shared" si="9"/>
        <v>0</v>
      </c>
      <c r="P84" s="568"/>
      <c r="Q84" s="706"/>
    </row>
    <row r="85" spans="1:17" s="291" customFormat="1" ht="13.5" thickBot="1">
      <c r="A85" s="1172"/>
      <c r="B85" s="695"/>
      <c r="C85" s="231" t="s">
        <v>259</v>
      </c>
      <c r="D85" s="232" t="s">
        <v>436</v>
      </c>
      <c r="E85" s="704">
        <v>32.1</v>
      </c>
      <c r="F85" s="491">
        <f t="shared" si="0"/>
        <v>19.260000000000002</v>
      </c>
      <c r="G85" s="566">
        <f t="shared" si="1"/>
        <v>0</v>
      </c>
      <c r="H85" s="566">
        <f t="shared" si="2"/>
        <v>1.6274700000000002</v>
      </c>
      <c r="I85" s="566">
        <f t="shared" si="3"/>
        <v>0</v>
      </c>
      <c r="J85" s="566">
        <f t="shared" si="4"/>
        <v>0.61632000000000009</v>
      </c>
      <c r="K85" s="566">
        <f t="shared" si="5"/>
        <v>0</v>
      </c>
      <c r="L85" s="566">
        <f t="shared" si="6"/>
        <v>0.50653800000000004</v>
      </c>
      <c r="M85" s="566">
        <f t="shared" si="7"/>
        <v>0</v>
      </c>
      <c r="N85" s="566">
        <f t="shared" si="8"/>
        <v>0.421794</v>
      </c>
      <c r="O85" s="707">
        <f t="shared" si="9"/>
        <v>0</v>
      </c>
      <c r="P85" s="568"/>
      <c r="Q85" s="706"/>
    </row>
    <row r="86" spans="1:17" s="291" customFormat="1" ht="13.5" thickBot="1">
      <c r="A86" s="1172"/>
      <c r="B86" s="695"/>
      <c r="C86" s="231" t="s">
        <v>527</v>
      </c>
      <c r="D86" s="232" t="s">
        <v>224</v>
      </c>
      <c r="E86" s="704">
        <v>35.31</v>
      </c>
      <c r="F86" s="491">
        <f t="shared" si="0"/>
        <v>21.186</v>
      </c>
      <c r="G86" s="566">
        <f t="shared" si="1"/>
        <v>0</v>
      </c>
      <c r="H86" s="566">
        <f t="shared" si="2"/>
        <v>1.7902170000000002</v>
      </c>
      <c r="I86" s="566">
        <f t="shared" si="3"/>
        <v>0</v>
      </c>
      <c r="J86" s="566">
        <f t="shared" si="4"/>
        <v>0.677952</v>
      </c>
      <c r="K86" s="566">
        <f t="shared" si="5"/>
        <v>0</v>
      </c>
      <c r="L86" s="566">
        <f t="shared" si="6"/>
        <v>0.55719180000000001</v>
      </c>
      <c r="M86" s="566">
        <f t="shared" si="7"/>
        <v>0</v>
      </c>
      <c r="N86" s="566">
        <f t="shared" si="8"/>
        <v>0.46397339999999998</v>
      </c>
      <c r="O86" s="707">
        <f t="shared" si="9"/>
        <v>0</v>
      </c>
      <c r="P86" s="568"/>
      <c r="Q86" s="706"/>
    </row>
    <row r="87" spans="1:17" s="291" customFormat="1" ht="13.5" thickBot="1">
      <c r="A87" s="1172"/>
      <c r="B87" s="695"/>
      <c r="C87" s="231" t="s">
        <v>530</v>
      </c>
      <c r="D87" s="232" t="s">
        <v>3950</v>
      </c>
      <c r="E87" s="704">
        <v>306.02</v>
      </c>
      <c r="F87" s="491">
        <f t="shared" si="0"/>
        <v>183.61199999999999</v>
      </c>
      <c r="G87" s="566">
        <f t="shared" si="1"/>
        <v>0</v>
      </c>
      <c r="H87" s="566">
        <f t="shared" si="2"/>
        <v>15.515214</v>
      </c>
      <c r="I87" s="566">
        <f t="shared" si="3"/>
        <v>0</v>
      </c>
      <c r="J87" s="566">
        <f t="shared" si="4"/>
        <v>5.8755839999999999</v>
      </c>
      <c r="K87" s="566">
        <f t="shared" si="5"/>
        <v>0</v>
      </c>
      <c r="L87" s="566">
        <f t="shared" si="6"/>
        <v>4.8289955999999998</v>
      </c>
      <c r="M87" s="566">
        <f t="shared" si="7"/>
        <v>0</v>
      </c>
      <c r="N87" s="566">
        <f t="shared" si="8"/>
        <v>4.0211027999999995</v>
      </c>
      <c r="O87" s="707">
        <f t="shared" si="9"/>
        <v>0</v>
      </c>
      <c r="P87" s="568"/>
      <c r="Q87" s="706"/>
    </row>
    <row r="88" spans="1:17" s="291" customFormat="1" ht="26.25" thickBot="1">
      <c r="A88" s="1172"/>
      <c r="B88" s="695"/>
      <c r="C88" s="231" t="s">
        <v>519</v>
      </c>
      <c r="D88" s="232" t="s">
        <v>3951</v>
      </c>
      <c r="E88" s="704">
        <v>328.49</v>
      </c>
      <c r="F88" s="491">
        <f t="shared" si="0"/>
        <v>197.09399999999999</v>
      </c>
      <c r="G88" s="566">
        <f t="shared" si="1"/>
        <v>0</v>
      </c>
      <c r="H88" s="566">
        <f t="shared" si="2"/>
        <v>16.654443000000001</v>
      </c>
      <c r="I88" s="566">
        <f t="shared" si="3"/>
        <v>0</v>
      </c>
      <c r="J88" s="566">
        <f t="shared" si="4"/>
        <v>6.3070079999999997</v>
      </c>
      <c r="K88" s="566">
        <f t="shared" si="5"/>
        <v>0</v>
      </c>
      <c r="L88" s="566">
        <f t="shared" si="6"/>
        <v>5.1835721999999995</v>
      </c>
      <c r="M88" s="566">
        <f t="shared" si="7"/>
        <v>0</v>
      </c>
      <c r="N88" s="566">
        <f t="shared" si="8"/>
        <v>4.3163586</v>
      </c>
      <c r="O88" s="707">
        <f t="shared" si="9"/>
        <v>0</v>
      </c>
      <c r="P88" s="568"/>
      <c r="Q88" s="706"/>
    </row>
    <row r="89" spans="1:17" s="291" customFormat="1" ht="13.5" thickBot="1">
      <c r="A89" s="1172"/>
      <c r="B89" s="695"/>
      <c r="C89" s="231" t="s">
        <v>3880</v>
      </c>
      <c r="D89" s="232" t="s">
        <v>225</v>
      </c>
      <c r="E89" s="704">
        <v>132.68</v>
      </c>
      <c r="F89" s="491">
        <f>E89*(1-40%)</f>
        <v>79.608000000000004</v>
      </c>
      <c r="G89" s="566">
        <f>F89*B89</f>
        <v>0</v>
      </c>
      <c r="H89" s="566">
        <f>F89*0.0845</f>
        <v>6.7268760000000007</v>
      </c>
      <c r="I89" s="566">
        <f>H89*B89</f>
        <v>0</v>
      </c>
      <c r="J89" s="566">
        <f>F89*0.032</f>
        <v>2.5474560000000004</v>
      </c>
      <c r="K89" s="566">
        <f>J89*B89</f>
        <v>0</v>
      </c>
      <c r="L89" s="566">
        <f>F89*0.0263</f>
        <v>2.0936904000000003</v>
      </c>
      <c r="M89" s="566">
        <f>L89*B89</f>
        <v>0</v>
      </c>
      <c r="N89" s="566">
        <f>F89*0.0219</f>
        <v>1.7434152000000001</v>
      </c>
      <c r="O89" s="707">
        <f>N89*B89</f>
        <v>0</v>
      </c>
      <c r="P89" s="568"/>
      <c r="Q89" s="706"/>
    </row>
    <row r="90" spans="1:17" s="291" customFormat="1" ht="13.5" thickBot="1">
      <c r="A90" s="1172"/>
      <c r="B90" s="695"/>
      <c r="C90" s="231" t="s">
        <v>532</v>
      </c>
      <c r="D90" s="232" t="s">
        <v>3952</v>
      </c>
      <c r="E90" s="704">
        <v>2942.5</v>
      </c>
      <c r="F90" s="491">
        <f t="shared" si="0"/>
        <v>1765.5</v>
      </c>
      <c r="G90" s="566">
        <f t="shared" si="1"/>
        <v>0</v>
      </c>
      <c r="H90" s="566">
        <f t="shared" si="2"/>
        <v>149.18475000000001</v>
      </c>
      <c r="I90" s="566">
        <f t="shared" si="3"/>
        <v>0</v>
      </c>
      <c r="J90" s="566">
        <f t="shared" si="4"/>
        <v>56.496000000000002</v>
      </c>
      <c r="K90" s="566">
        <f t="shared" si="5"/>
        <v>0</v>
      </c>
      <c r="L90" s="566">
        <f t="shared" si="6"/>
        <v>46.432650000000002</v>
      </c>
      <c r="M90" s="566">
        <f t="shared" si="7"/>
        <v>0</v>
      </c>
      <c r="N90" s="566">
        <f t="shared" si="8"/>
        <v>38.664450000000002</v>
      </c>
      <c r="O90" s="707">
        <f t="shared" si="9"/>
        <v>0</v>
      </c>
      <c r="P90" s="568"/>
      <c r="Q90" s="706"/>
    </row>
    <row r="91" spans="1:17" s="315" customFormat="1" ht="13.5" thickBot="1">
      <c r="A91" s="1173"/>
      <c r="B91" s="695"/>
      <c r="C91" s="231" t="s">
        <v>369</v>
      </c>
      <c r="D91" s="232" t="s">
        <v>3913</v>
      </c>
      <c r="E91" s="704">
        <v>5896.77</v>
      </c>
      <c r="F91" s="491">
        <f t="shared" si="0"/>
        <v>3538.0620000000004</v>
      </c>
      <c r="G91" s="566">
        <f t="shared" si="1"/>
        <v>0</v>
      </c>
      <c r="H91" s="566">
        <f t="shared" si="2"/>
        <v>298.96623900000003</v>
      </c>
      <c r="I91" s="566">
        <f t="shared" si="3"/>
        <v>0</v>
      </c>
      <c r="J91" s="566">
        <f t="shared" si="4"/>
        <v>113.21798400000002</v>
      </c>
      <c r="K91" s="566">
        <f t="shared" si="5"/>
        <v>0</v>
      </c>
      <c r="L91" s="566">
        <f t="shared" si="6"/>
        <v>93.051030600000004</v>
      </c>
      <c r="M91" s="566">
        <f t="shared" si="7"/>
        <v>0</v>
      </c>
      <c r="N91" s="566">
        <f t="shared" si="8"/>
        <v>77.4835578</v>
      </c>
      <c r="O91" s="707">
        <f t="shared" si="9"/>
        <v>0</v>
      </c>
      <c r="P91" s="568"/>
      <c r="Q91" s="706"/>
    </row>
    <row r="92" spans="1:17" s="315" customFormat="1" ht="15">
      <c r="C92" s="697"/>
      <c r="D92" s="1008" t="s">
        <v>65</v>
      </c>
      <c r="E92" s="1088"/>
      <c r="F92" s="1088"/>
      <c r="G92" s="328">
        <f t="array" ref="G92">SUM(G49:G91)+G40:G48:G91+G43:G48:G91+G46</f>
        <v>0</v>
      </c>
      <c r="H92" s="329" t="s">
        <v>66</v>
      </c>
      <c r="I92" s="328">
        <f t="array" ref="I92">SUM(I49:I91)+I40:I48:I91+I43:I48:I91+I46</f>
        <v>0</v>
      </c>
      <c r="J92" s="329" t="s">
        <v>67</v>
      </c>
      <c r="K92" s="328">
        <f t="array" ref="K92">SUM(K49:K91)+K40:K48:K91+K43:K48:K91+K46</f>
        <v>0</v>
      </c>
      <c r="L92" s="329" t="s">
        <v>68</v>
      </c>
      <c r="M92" s="328">
        <f t="array" ref="M92">SUM(M49:M91)+M40:M48:M91+M43:M48:M91+M46</f>
        <v>0</v>
      </c>
      <c r="N92" s="329" t="s">
        <v>69</v>
      </c>
      <c r="O92" s="328">
        <f t="array" ref="O92">SUM(O49:O91)+O40:O48:O91+O43:O48:O91+O46</f>
        <v>0</v>
      </c>
    </row>
    <row r="93" spans="1:17" s="315" customFormat="1" ht="14.25">
      <c r="C93" s="698"/>
      <c r="F93" s="456"/>
    </row>
    <row r="107" spans="3:3">
      <c r="C107" s="699"/>
    </row>
  </sheetData>
  <mergeCells count="55">
    <mergeCell ref="A28:D28"/>
    <mergeCell ref="E28:J28"/>
    <mergeCell ref="K28:O28"/>
    <mergeCell ref="A4:O4"/>
    <mergeCell ref="A5:O5"/>
    <mergeCell ref="H8:J8"/>
    <mergeCell ref="D24:D25"/>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M43:M44"/>
    <mergeCell ref="I34:K36"/>
    <mergeCell ref="F38:G38"/>
    <mergeCell ref="H38:O38"/>
    <mergeCell ref="A40:A41"/>
    <mergeCell ref="B40:B41"/>
    <mergeCell ref="G40:G41"/>
    <mergeCell ref="I40:I41"/>
    <mergeCell ref="K40:K41"/>
    <mergeCell ref="M40:M41"/>
    <mergeCell ref="O40:O41"/>
    <mergeCell ref="A48:O48"/>
    <mergeCell ref="A49:A91"/>
    <mergeCell ref="D92:F92"/>
    <mergeCell ref="O43:O44"/>
    <mergeCell ref="A46:A47"/>
    <mergeCell ref="B46:B47"/>
    <mergeCell ref="G46:G47"/>
    <mergeCell ref="I46:I47"/>
    <mergeCell ref="K46:K47"/>
    <mergeCell ref="M46:M47"/>
    <mergeCell ref="O46:O47"/>
    <mergeCell ref="A43:A44"/>
    <mergeCell ref="B43:B44"/>
    <mergeCell ref="G43:G44"/>
    <mergeCell ref="I43:I44"/>
    <mergeCell ref="K43:K44"/>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3E016-90A6-4C23-A11C-2F3856AABC46}">
  <sheetPr>
    <tabColor indexed="62"/>
  </sheetPr>
  <dimension ref="A1:P107"/>
  <sheetViews>
    <sheetView topLeftCell="C24" zoomScaleNormal="100" workbookViewId="0">
      <selection activeCell="E40" sqref="E40:F40"/>
    </sheetView>
  </sheetViews>
  <sheetFormatPr defaultColWidth="8.85546875" defaultRowHeight="12.75"/>
  <cols>
    <col min="1" max="1" width="14.42578125" style="256" customWidth="1"/>
    <col min="2" max="2" width="9.42578125" style="256" customWidth="1"/>
    <col min="3" max="3" width="21.7109375" style="549" bestFit="1" customWidth="1"/>
    <col min="4" max="4" width="37.42578125" style="256" customWidth="1"/>
    <col min="5" max="5" width="17.42578125" style="256" customWidth="1"/>
    <col min="6" max="6" width="19" style="333" customWidth="1"/>
    <col min="7" max="7" width="15.42578125" style="256" customWidth="1"/>
    <col min="8" max="8" width="28.28515625" style="256" bestFit="1" customWidth="1"/>
    <col min="9" max="9" width="20.140625" style="256" customWidth="1"/>
    <col min="10" max="10" width="25" style="256" bestFit="1" customWidth="1"/>
    <col min="11" max="11" width="19" style="256" customWidth="1"/>
    <col min="12" max="12" width="25" style="256" bestFit="1" customWidth="1"/>
    <col min="13" max="13" width="17" style="256" customWidth="1"/>
    <col min="14" max="14" width="25" style="256" bestFit="1" customWidth="1"/>
    <col min="15" max="15" width="18.85546875" style="256" customWidth="1"/>
    <col min="16" max="16" width="12.42578125" style="256" customWidth="1"/>
    <col min="17" max="16384" width="8.85546875" style="256"/>
  </cols>
  <sheetData>
    <row r="1" spans="1:15" ht="13.5" thickBot="1">
      <c r="B1" s="259"/>
      <c r="C1" s="632"/>
      <c r="D1" s="258"/>
      <c r="E1" s="258"/>
      <c r="F1" s="259"/>
      <c r="G1" s="259"/>
      <c r="H1" s="259"/>
      <c r="I1" s="259"/>
      <c r="J1" s="259"/>
      <c r="K1" s="258"/>
      <c r="L1" s="259"/>
    </row>
    <row r="2" spans="1:15" ht="9" customHeight="1">
      <c r="A2" s="260"/>
      <c r="B2" s="264"/>
      <c r="C2" s="634"/>
      <c r="D2" s="262"/>
      <c r="E2" s="262"/>
      <c r="F2" s="263"/>
      <c r="G2" s="264"/>
      <c r="H2" s="263"/>
      <c r="I2" s="264"/>
      <c r="J2" s="264"/>
      <c r="K2" s="264"/>
      <c r="L2" s="264"/>
      <c r="M2" s="260"/>
      <c r="N2" s="260"/>
      <c r="O2" s="260"/>
    </row>
    <row r="3" spans="1:15" ht="10.5" customHeight="1">
      <c r="B3" s="265"/>
      <c r="C3" s="632"/>
      <c r="D3" s="258"/>
      <c r="E3" s="258"/>
      <c r="F3" s="259"/>
      <c r="G3" s="265"/>
      <c r="H3" s="259"/>
      <c r="I3" s="265"/>
      <c r="J3" s="265"/>
      <c r="K3" s="265"/>
      <c r="L3" s="265"/>
    </row>
    <row r="4" spans="1:15" ht="36" customHeight="1">
      <c r="A4" s="1043" t="s">
        <v>533</v>
      </c>
      <c r="B4" s="1020"/>
      <c r="C4" s="1020"/>
      <c r="D4" s="1020"/>
      <c r="E4" s="1020"/>
      <c r="F4" s="1020"/>
      <c r="G4" s="1020"/>
      <c r="H4" s="1020"/>
      <c r="I4" s="1020"/>
      <c r="J4" s="1020"/>
      <c r="K4" s="1020"/>
      <c r="L4" s="1020"/>
      <c r="M4" s="1020"/>
      <c r="N4" s="1020"/>
      <c r="O4" s="1020"/>
    </row>
    <row r="5" spans="1:15" s="266" customFormat="1" ht="41.25" customHeight="1">
      <c r="A5" s="1044" t="s">
        <v>502</v>
      </c>
      <c r="B5" s="1045"/>
      <c r="C5" s="1045"/>
      <c r="D5" s="1045"/>
      <c r="E5" s="1045"/>
      <c r="F5" s="1045"/>
      <c r="G5" s="1045"/>
      <c r="H5" s="1045"/>
      <c r="I5" s="1045"/>
      <c r="J5" s="1045"/>
      <c r="K5" s="1045"/>
      <c r="L5" s="1045"/>
      <c r="M5" s="1045"/>
      <c r="N5" s="1045"/>
      <c r="O5" s="1045"/>
    </row>
    <row r="6" spans="1:15" ht="12" customHeight="1" thickBot="1">
      <c r="A6" s="267"/>
      <c r="B6" s="267"/>
      <c r="C6" s="267"/>
      <c r="D6" s="267"/>
      <c r="E6" s="267"/>
      <c r="F6" s="267"/>
      <c r="G6" s="267"/>
      <c r="H6" s="267"/>
      <c r="I6" s="267"/>
      <c r="J6" s="267"/>
      <c r="K6" s="267"/>
      <c r="L6" s="267"/>
      <c r="M6" s="267"/>
      <c r="N6" s="267"/>
      <c r="O6" s="267"/>
    </row>
    <row r="8" spans="1:15" s="265" customFormat="1" ht="14.25">
      <c r="C8" s="282"/>
      <c r="F8" s="446"/>
      <c r="G8" s="446"/>
      <c r="H8" s="1046" t="s">
        <v>0</v>
      </c>
      <c r="I8" s="1046"/>
      <c r="J8" s="1046"/>
      <c r="K8" s="507"/>
    </row>
    <row r="9" spans="1:15" s="265" customFormat="1" ht="14.25">
      <c r="C9" s="282"/>
      <c r="H9" s="275" t="s">
        <v>1</v>
      </c>
      <c r="I9" s="265" t="s">
        <v>503</v>
      </c>
    </row>
    <row r="10" spans="1:15" s="265" customFormat="1">
      <c r="B10" s="282"/>
      <c r="C10" s="282"/>
      <c r="G10" s="282"/>
      <c r="H10" s="270" t="s">
        <v>3</v>
      </c>
      <c r="I10" s="282" t="s">
        <v>180</v>
      </c>
      <c r="J10" s="282"/>
      <c r="K10" s="273"/>
      <c r="L10" s="282"/>
    </row>
    <row r="11" spans="1:15" s="265" customFormat="1" ht="12.75" customHeight="1">
      <c r="B11" s="548"/>
      <c r="C11" s="282"/>
      <c r="F11" s="446"/>
      <c r="G11" s="548"/>
      <c r="H11" s="276" t="s">
        <v>5</v>
      </c>
      <c r="I11" s="548" t="s">
        <v>504</v>
      </c>
      <c r="J11" s="548"/>
      <c r="L11" s="548"/>
    </row>
    <row r="12" spans="1:15" s="265" customFormat="1">
      <c r="B12" s="282"/>
      <c r="C12" s="282"/>
      <c r="F12" s="446"/>
      <c r="G12" s="282"/>
      <c r="H12" s="270" t="s">
        <v>7</v>
      </c>
      <c r="I12" s="556">
        <v>300000</v>
      </c>
      <c r="J12" s="282"/>
      <c r="L12" s="282"/>
    </row>
    <row r="13" spans="1:15" s="265" customFormat="1">
      <c r="C13" s="673"/>
      <c r="F13" s="446"/>
      <c r="H13" s="270" t="s">
        <v>8</v>
      </c>
      <c r="I13" s="265" t="s">
        <v>534</v>
      </c>
    </row>
    <row r="14" spans="1:15" s="265" customFormat="1">
      <c r="C14" s="282"/>
      <c r="F14" s="446"/>
      <c r="H14" s="270" t="s">
        <v>10</v>
      </c>
      <c r="I14" s="265" t="s">
        <v>506</v>
      </c>
    </row>
    <row r="15" spans="1:15" s="265" customFormat="1">
      <c r="C15" s="282"/>
      <c r="F15" s="302"/>
      <c r="H15" s="270" t="s">
        <v>183</v>
      </c>
      <c r="I15" s="265" t="s">
        <v>507</v>
      </c>
    </row>
    <row r="16" spans="1:15" s="265" customFormat="1">
      <c r="C16" s="282"/>
      <c r="F16" s="446"/>
      <c r="H16" s="270" t="s">
        <v>185</v>
      </c>
      <c r="I16" s="265" t="s">
        <v>508</v>
      </c>
    </row>
    <row r="17" spans="1:15" s="265" customFormat="1">
      <c r="C17" s="282"/>
      <c r="F17" s="446"/>
      <c r="H17" s="270" t="s">
        <v>14</v>
      </c>
      <c r="I17" s="265" t="s">
        <v>509</v>
      </c>
    </row>
    <row r="18" spans="1:15" s="265" customFormat="1">
      <c r="C18" s="282"/>
      <c r="I18" s="265" t="s">
        <v>510</v>
      </c>
    </row>
    <row r="19" spans="1:15" s="265" customFormat="1">
      <c r="C19" s="282"/>
      <c r="F19" s="446"/>
      <c r="I19" s="265" t="s">
        <v>188</v>
      </c>
    </row>
    <row r="20" spans="1:15" s="265" customFormat="1">
      <c r="C20" s="282"/>
      <c r="F20" s="446"/>
      <c r="H20" s="270" t="s">
        <v>16</v>
      </c>
      <c r="I20" s="265" t="s">
        <v>511</v>
      </c>
    </row>
    <row r="21" spans="1:15" s="265" customFormat="1">
      <c r="C21" s="282"/>
      <c r="F21" s="446"/>
      <c r="H21" s="270" t="s">
        <v>18</v>
      </c>
      <c r="I21" s="265" t="s">
        <v>190</v>
      </c>
    </row>
    <row r="22" spans="1:15" s="265" customFormat="1">
      <c r="B22" s="282"/>
      <c r="C22" s="282"/>
      <c r="F22" s="446"/>
      <c r="G22" s="282"/>
      <c r="H22" s="270" t="s">
        <v>20</v>
      </c>
      <c r="I22" s="282" t="s">
        <v>233</v>
      </c>
      <c r="J22" s="282"/>
      <c r="L22" s="282"/>
    </row>
    <row r="23" spans="1:15" s="265" customFormat="1" ht="12" customHeight="1">
      <c r="C23" s="282"/>
      <c r="F23" s="446"/>
      <c r="H23" s="270" t="s">
        <v>22</v>
      </c>
      <c r="I23" s="265" t="s">
        <v>512</v>
      </c>
    </row>
    <row r="24" spans="1:15" s="265" customFormat="1" ht="15.75" customHeight="1">
      <c r="C24" s="282"/>
      <c r="D24" s="1047"/>
      <c r="E24" s="277"/>
      <c r="F24" s="283"/>
      <c r="H24" s="270" t="s">
        <v>24</v>
      </c>
      <c r="I24" s="265" t="s">
        <v>513</v>
      </c>
      <c r="K24" s="674"/>
    </row>
    <row r="25" spans="1:15" s="265" customFormat="1" ht="12.75" customHeight="1">
      <c r="C25" s="282"/>
      <c r="D25" s="1047"/>
      <c r="E25" s="277"/>
      <c r="F25" s="283"/>
      <c r="H25" s="270" t="s">
        <v>26</v>
      </c>
      <c r="I25" s="265" t="s">
        <v>514</v>
      </c>
    </row>
    <row r="26" spans="1:15" s="265" customFormat="1" ht="12.75" customHeight="1">
      <c r="C26" s="282"/>
      <c r="D26" s="277"/>
      <c r="E26" s="277"/>
      <c r="F26" s="283"/>
      <c r="H26" s="270" t="s">
        <v>28</v>
      </c>
      <c r="I26" s="265" t="s">
        <v>515</v>
      </c>
    </row>
    <row r="27" spans="1:15" s="265" customFormat="1" ht="15" thickBot="1">
      <c r="A27" s="1111" t="s">
        <v>30</v>
      </c>
      <c r="B27" s="1167"/>
      <c r="C27" s="1167"/>
      <c r="D27" s="1167"/>
      <c r="E27" s="1167"/>
      <c r="F27" s="1167"/>
      <c r="G27" s="1167"/>
      <c r="H27" s="1167"/>
      <c r="I27" s="1167"/>
      <c r="J27" s="1167"/>
      <c r="K27" s="1167"/>
      <c r="L27" s="1167"/>
      <c r="M27" s="1167"/>
      <c r="N27" s="1167"/>
      <c r="O27" s="1167"/>
    </row>
    <row r="28" spans="1:15" s="265" customFormat="1" ht="14.25">
      <c r="A28" s="1105" t="s">
        <v>491</v>
      </c>
      <c r="B28" s="1106"/>
      <c r="C28" s="1106"/>
      <c r="D28" s="1107"/>
      <c r="E28" s="1108" t="s">
        <v>492</v>
      </c>
      <c r="F28" s="1168"/>
      <c r="G28" s="1168"/>
      <c r="H28" s="1168"/>
      <c r="I28" s="1168"/>
      <c r="J28" s="1169"/>
      <c r="K28" s="1105" t="s">
        <v>493</v>
      </c>
      <c r="L28" s="1106"/>
      <c r="M28" s="1106"/>
      <c r="N28" s="1106"/>
      <c r="O28" s="1107"/>
    </row>
    <row r="29" spans="1:15" s="265" customFormat="1" ht="12.75" customHeight="1">
      <c r="A29" s="1028" t="s">
        <v>33</v>
      </c>
      <c r="B29" s="1029"/>
      <c r="C29" s="1029"/>
      <c r="D29" s="279" t="s">
        <v>34</v>
      </c>
      <c r="E29" s="1028" t="s">
        <v>33</v>
      </c>
      <c r="F29" s="1029"/>
      <c r="G29" s="1029"/>
      <c r="H29" s="1029"/>
      <c r="I29" s="1093" t="s">
        <v>35</v>
      </c>
      <c r="J29" s="1117"/>
      <c r="K29" s="1028" t="s">
        <v>33</v>
      </c>
      <c r="L29" s="1029"/>
      <c r="M29" s="1029"/>
      <c r="N29" s="1095" t="s">
        <v>35</v>
      </c>
      <c r="O29" s="1096"/>
    </row>
    <row r="30" spans="1:15" s="265" customFormat="1" ht="12.75" customHeight="1">
      <c r="A30" s="1028" t="s">
        <v>199</v>
      </c>
      <c r="B30" s="1029"/>
      <c r="C30" s="1029"/>
      <c r="D30" s="280">
        <v>0</v>
      </c>
      <c r="E30" s="1028" t="s">
        <v>199</v>
      </c>
      <c r="F30" s="1029"/>
      <c r="G30" s="1029"/>
      <c r="H30" s="1029"/>
      <c r="I30" s="1102">
        <v>1320</v>
      </c>
      <c r="J30" s="1170"/>
      <c r="K30" s="1028" t="s">
        <v>199</v>
      </c>
      <c r="L30" s="1029"/>
      <c r="M30" s="1029"/>
      <c r="N30" s="1103">
        <v>1920</v>
      </c>
      <c r="O30" s="1104"/>
    </row>
    <row r="31" spans="1:15" s="265" customFormat="1" ht="12.75" customHeight="1">
      <c r="A31" s="1028" t="s">
        <v>37</v>
      </c>
      <c r="B31" s="1029"/>
      <c r="C31" s="1029"/>
      <c r="D31" s="279" t="s">
        <v>38</v>
      </c>
      <c r="E31" s="1028" t="s">
        <v>37</v>
      </c>
      <c r="F31" s="1029"/>
      <c r="G31" s="1029"/>
      <c r="H31" s="1029"/>
      <c r="I31" s="1093" t="s">
        <v>494</v>
      </c>
      <c r="J31" s="1117"/>
      <c r="K31" s="1028" t="s">
        <v>37</v>
      </c>
      <c r="L31" s="1029"/>
      <c r="M31" s="1029"/>
      <c r="N31" s="1095" t="s">
        <v>495</v>
      </c>
      <c r="O31" s="1096"/>
    </row>
    <row r="32" spans="1:15" s="265" customFormat="1" ht="12.75" customHeight="1" thickBot="1">
      <c r="A32" s="1031" t="s">
        <v>202</v>
      </c>
      <c r="B32" s="1032"/>
      <c r="C32" s="1032"/>
      <c r="D32" s="281" t="s">
        <v>496</v>
      </c>
      <c r="E32" s="1031" t="s">
        <v>204</v>
      </c>
      <c r="F32" s="1032"/>
      <c r="G32" s="1032"/>
      <c r="H32" s="1032"/>
      <c r="I32" s="1097" t="s">
        <v>497</v>
      </c>
      <c r="J32" s="1116"/>
      <c r="K32" s="1031" t="s">
        <v>40</v>
      </c>
      <c r="L32" s="1032"/>
      <c r="M32" s="1032"/>
      <c r="N32" s="1099" t="s">
        <v>497</v>
      </c>
      <c r="O32" s="1100"/>
    </row>
    <row r="33" spans="1:15" s="265" customFormat="1" ht="12.75" customHeight="1">
      <c r="A33" s="547"/>
      <c r="B33" s="256"/>
      <c r="C33" s="256"/>
      <c r="E33" s="547"/>
      <c r="F33" s="256"/>
      <c r="I33" s="547"/>
      <c r="J33" s="256"/>
      <c r="M33" s="647"/>
    </row>
    <row r="34" spans="1:15" s="265" customFormat="1" ht="12.75" customHeight="1">
      <c r="C34" s="700"/>
      <c r="D34" s="277"/>
      <c r="E34" s="277"/>
      <c r="F34" s="283"/>
      <c r="G34" s="283"/>
      <c r="H34" s="283"/>
      <c r="I34" s="1059"/>
      <c r="J34" s="1059"/>
      <c r="K34" s="1059"/>
    </row>
    <row r="35" spans="1:15" s="265" customFormat="1" ht="12.75" customHeight="1">
      <c r="C35" s="282"/>
      <c r="D35" s="277"/>
      <c r="E35" s="277"/>
      <c r="F35" s="283"/>
      <c r="G35" s="283"/>
      <c r="H35" s="283"/>
      <c r="I35" s="1059"/>
      <c r="J35" s="1059"/>
      <c r="K35" s="1059"/>
    </row>
    <row r="36" spans="1:15" s="265" customFormat="1" ht="12.75" customHeight="1">
      <c r="C36" s="282"/>
      <c r="D36" s="277"/>
      <c r="E36" s="277"/>
      <c r="F36" s="283"/>
      <c r="G36" s="283"/>
      <c r="H36" s="283"/>
      <c r="I36" s="1059"/>
      <c r="J36" s="1059"/>
      <c r="K36" s="1059"/>
    </row>
    <row r="37" spans="1:15" s="265" customFormat="1" ht="13.5" customHeight="1" thickBot="1">
      <c r="B37" s="288"/>
      <c r="C37" s="282"/>
      <c r="D37" s="277"/>
      <c r="E37" s="277"/>
      <c r="F37" s="283"/>
      <c r="G37" s="288"/>
      <c r="I37" s="288"/>
      <c r="J37" s="288"/>
      <c r="K37" s="288"/>
      <c r="L37" s="288"/>
    </row>
    <row r="38" spans="1:15" s="265" customFormat="1" ht="15.75" customHeight="1" thickBot="1">
      <c r="C38" s="282"/>
      <c r="F38" s="1063" t="s">
        <v>43</v>
      </c>
      <c r="G38" s="1022"/>
      <c r="H38" s="1023" t="s">
        <v>44</v>
      </c>
      <c r="I38" s="1024"/>
      <c r="J38" s="1101"/>
      <c r="K38" s="1003"/>
      <c r="L38" s="1003"/>
      <c r="M38" s="1003"/>
      <c r="N38" s="1003"/>
      <c r="O38" s="1025"/>
    </row>
    <row r="39" spans="1:15" s="291" customFormat="1" ht="62.25" customHeight="1" thickBot="1">
      <c r="A39" s="289" t="s">
        <v>45</v>
      </c>
      <c r="B39" s="289" t="s">
        <v>46</v>
      </c>
      <c r="C39" s="675" t="s">
        <v>47</v>
      </c>
      <c r="D39" s="290" t="s">
        <v>48</v>
      </c>
      <c r="E39" s="290" t="s">
        <v>49</v>
      </c>
      <c r="F39" s="290" t="s">
        <v>50</v>
      </c>
      <c r="G39" s="289" t="s">
        <v>51</v>
      </c>
      <c r="H39" s="290" t="s">
        <v>52</v>
      </c>
      <c r="I39" s="289" t="s">
        <v>51</v>
      </c>
      <c r="J39" s="290" t="s">
        <v>53</v>
      </c>
      <c r="K39" s="289" t="s">
        <v>51</v>
      </c>
      <c r="L39" s="290" t="s">
        <v>54</v>
      </c>
      <c r="M39" s="289" t="s">
        <v>51</v>
      </c>
      <c r="N39" s="290" t="s">
        <v>55</v>
      </c>
      <c r="O39" s="289" t="s">
        <v>51</v>
      </c>
    </row>
    <row r="40" spans="1:15" s="296" customFormat="1" ht="13.5" thickBot="1">
      <c r="A40" s="1089">
        <v>17</v>
      </c>
      <c r="B40" s="1184"/>
      <c r="C40" s="552" t="s">
        <v>535</v>
      </c>
      <c r="D40" s="746" t="s">
        <v>536</v>
      </c>
      <c r="E40" s="747">
        <v>51905.7</v>
      </c>
      <c r="F40" s="679">
        <f>SUM(E40:E41)*(1-80%)</f>
        <v>10432.939999999997</v>
      </c>
      <c r="G40" s="1187">
        <f>F40*B40</f>
        <v>0</v>
      </c>
      <c r="H40" s="680">
        <f>F40*0.0845</f>
        <v>881.58342999999979</v>
      </c>
      <c r="I40" s="1187">
        <f>H40*B40</f>
        <v>0</v>
      </c>
      <c r="J40" s="680">
        <f>F40*0.032</f>
        <v>333.8540799999999</v>
      </c>
      <c r="K40" s="1187">
        <f>J40*B40</f>
        <v>0</v>
      </c>
      <c r="L40" s="295">
        <f>F40*0.0263</f>
        <v>274.38632199999995</v>
      </c>
      <c r="M40" s="1026">
        <f>L40*B40</f>
        <v>0</v>
      </c>
      <c r="N40" s="295">
        <f>F40*0.0219</f>
        <v>228.48138599999993</v>
      </c>
      <c r="O40" s="1026">
        <f>N40*B40</f>
        <v>0</v>
      </c>
    </row>
    <row r="41" spans="1:15" s="291" customFormat="1" ht="13.5" thickBot="1">
      <c r="A41" s="1091"/>
      <c r="B41" s="1172"/>
      <c r="C41" s="303" t="s">
        <v>56</v>
      </c>
      <c r="D41" s="701" t="s">
        <v>424</v>
      </c>
      <c r="E41" s="685">
        <v>259</v>
      </c>
      <c r="F41" s="692" t="s">
        <v>35</v>
      </c>
      <c r="G41" s="1186"/>
      <c r="H41" s="692" t="s">
        <v>35</v>
      </c>
      <c r="I41" s="1186"/>
      <c r="J41" s="692" t="s">
        <v>35</v>
      </c>
      <c r="K41" s="1186"/>
      <c r="L41" s="32" t="s">
        <v>35</v>
      </c>
      <c r="M41" s="1092"/>
      <c r="N41" s="32" t="s">
        <v>35</v>
      </c>
      <c r="O41" s="1092"/>
    </row>
    <row r="42" spans="1:15" s="291" customFormat="1" ht="13.5" thickBot="1">
      <c r="A42" s="687"/>
      <c r="B42" s="545"/>
      <c r="C42" s="545"/>
      <c r="D42" s="537"/>
      <c r="E42" s="564"/>
      <c r="F42" s="688"/>
      <c r="G42" s="538"/>
      <c r="H42" s="693"/>
      <c r="I42" s="538"/>
      <c r="J42" s="693"/>
      <c r="K42" s="539"/>
      <c r="L42" s="36"/>
      <c r="M42" s="34"/>
      <c r="N42" s="36"/>
      <c r="O42" s="35"/>
    </row>
    <row r="43" spans="1:15" s="296" customFormat="1" ht="13.5" thickBot="1">
      <c r="A43" s="1089" t="s">
        <v>499</v>
      </c>
      <c r="B43" s="1184"/>
      <c r="C43" s="552" t="s">
        <v>535</v>
      </c>
      <c r="D43" s="746" t="s">
        <v>536</v>
      </c>
      <c r="E43" s="747">
        <v>51905.7</v>
      </c>
      <c r="F43" s="679">
        <f>SUM(E43:E44)*(1-80%)</f>
        <v>10432.939999999997</v>
      </c>
      <c r="G43" s="1187" t="s">
        <v>537</v>
      </c>
      <c r="H43" s="680">
        <f>F43*0.0845+I30/12</f>
        <v>991.58342999999979</v>
      </c>
      <c r="I43" s="1187">
        <f>H43*B43</f>
        <v>0</v>
      </c>
      <c r="J43" s="680">
        <f>F43*0.032+I30/12</f>
        <v>443.8540799999999</v>
      </c>
      <c r="K43" s="1187">
        <f>J43*B43</f>
        <v>0</v>
      </c>
      <c r="L43" s="295">
        <f>F43*0.0263+I30/12</f>
        <v>384.38632199999995</v>
      </c>
      <c r="M43" s="1026">
        <f>L43*B43</f>
        <v>0</v>
      </c>
      <c r="N43" s="295">
        <f>F43*0.0219+I30/12</f>
        <v>338.48138599999993</v>
      </c>
      <c r="O43" s="1026">
        <f>N43*B43</f>
        <v>0</v>
      </c>
    </row>
    <row r="44" spans="1:15" s="291" customFormat="1" ht="13.5" thickBot="1">
      <c r="A44" s="1091"/>
      <c r="B44" s="1172"/>
      <c r="C44" s="303" t="s">
        <v>56</v>
      </c>
      <c r="D44" s="701" t="s">
        <v>424</v>
      </c>
      <c r="E44" s="685">
        <v>259</v>
      </c>
      <c r="F44" s="692" t="s">
        <v>35</v>
      </c>
      <c r="G44" s="1186"/>
      <c r="H44" s="692" t="s">
        <v>35</v>
      </c>
      <c r="I44" s="1186"/>
      <c r="J44" s="692" t="s">
        <v>35</v>
      </c>
      <c r="K44" s="1186"/>
      <c r="L44" s="32" t="s">
        <v>35</v>
      </c>
      <c r="M44" s="1092"/>
      <c r="N44" s="32" t="s">
        <v>35</v>
      </c>
      <c r="O44" s="1092"/>
    </row>
    <row r="45" spans="1:15" s="291" customFormat="1" ht="13.5" thickBot="1">
      <c r="A45" s="687"/>
      <c r="B45" s="545"/>
      <c r="C45" s="545"/>
      <c r="D45" s="537"/>
      <c r="E45" s="564"/>
      <c r="F45" s="688"/>
      <c r="G45" s="538"/>
      <c r="H45" s="693"/>
      <c r="I45" s="538"/>
      <c r="J45" s="693"/>
      <c r="K45" s="539"/>
      <c r="L45" s="36"/>
      <c r="M45" s="34"/>
      <c r="N45" s="36"/>
      <c r="O45" s="35"/>
    </row>
    <row r="46" spans="1:15" s="296" customFormat="1" ht="13.5" thickBot="1">
      <c r="A46" s="1089" t="s">
        <v>500</v>
      </c>
      <c r="B46" s="1184"/>
      <c r="C46" s="552" t="s">
        <v>535</v>
      </c>
      <c r="D46" s="746" t="s">
        <v>536</v>
      </c>
      <c r="E46" s="747">
        <v>51905.7</v>
      </c>
      <c r="F46" s="679">
        <f>SUM(E46:E47)*(1-80%)</f>
        <v>10432.939999999997</v>
      </c>
      <c r="G46" s="1187">
        <f>F46*B46</f>
        <v>0</v>
      </c>
      <c r="H46" s="680">
        <f>F46*0.0845+N30/12</f>
        <v>1041.5834299999997</v>
      </c>
      <c r="I46" s="1187">
        <f>H46*B46</f>
        <v>0</v>
      </c>
      <c r="J46" s="680">
        <f>F46*0.032+N30/12</f>
        <v>493.8540799999999</v>
      </c>
      <c r="K46" s="1187">
        <f>J46*B46</f>
        <v>0</v>
      </c>
      <c r="L46" s="295">
        <f>F46*0.0263+N30/12</f>
        <v>434.38632199999995</v>
      </c>
      <c r="M46" s="1026">
        <f>L46*B46</f>
        <v>0</v>
      </c>
      <c r="N46" s="295">
        <f>F46*0.0219+N30/12</f>
        <v>388.48138599999993</v>
      </c>
      <c r="O46" s="1026">
        <f>N46*B46</f>
        <v>0</v>
      </c>
    </row>
    <row r="47" spans="1:15" s="291" customFormat="1" ht="13.5" thickBot="1">
      <c r="A47" s="1091"/>
      <c r="B47" s="1172"/>
      <c r="C47" s="303" t="s">
        <v>56</v>
      </c>
      <c r="D47" s="701" t="s">
        <v>424</v>
      </c>
      <c r="E47" s="685">
        <v>259</v>
      </c>
      <c r="F47" s="692" t="s">
        <v>35</v>
      </c>
      <c r="G47" s="1186"/>
      <c r="H47" s="692" t="s">
        <v>35</v>
      </c>
      <c r="I47" s="1186"/>
      <c r="J47" s="692" t="s">
        <v>35</v>
      </c>
      <c r="K47" s="1186"/>
      <c r="L47" s="608" t="s">
        <v>35</v>
      </c>
      <c r="M47" s="1084"/>
      <c r="N47" s="608" t="s">
        <v>35</v>
      </c>
      <c r="O47" s="1084"/>
    </row>
    <row r="48" spans="1:15" s="519" customFormat="1" ht="13.5" customHeight="1" thickBot="1">
      <c r="A48" s="1204" t="s">
        <v>59</v>
      </c>
      <c r="B48" s="1003"/>
      <c r="C48" s="1003"/>
      <c r="D48" s="1003"/>
      <c r="E48" s="1003"/>
      <c r="F48" s="1004"/>
      <c r="G48" s="1004"/>
      <c r="H48" s="1004"/>
      <c r="I48" s="1004"/>
      <c r="J48" s="1004"/>
      <c r="K48" s="1004"/>
      <c r="L48" s="1004"/>
      <c r="M48" s="1004"/>
      <c r="N48" s="1004"/>
      <c r="O48" s="1005"/>
    </row>
    <row r="49" spans="1:16" s="291" customFormat="1" ht="13.5" thickBot="1">
      <c r="A49" s="1172"/>
      <c r="B49" s="695"/>
      <c r="C49" s="231" t="s">
        <v>103</v>
      </c>
      <c r="D49" s="232" t="s">
        <v>104</v>
      </c>
      <c r="E49" s="704">
        <v>129.99</v>
      </c>
      <c r="F49" s="594">
        <f t="shared" ref="F49:F91" si="0">E49*(1-40%)</f>
        <v>77.994</v>
      </c>
      <c r="G49" s="396">
        <f t="shared" ref="G49:G91" si="1">F49*B49</f>
        <v>0</v>
      </c>
      <c r="H49" s="396">
        <f t="shared" ref="H49:H91" si="2">F49*0.0845</f>
        <v>6.5904930000000004</v>
      </c>
      <c r="I49" s="396">
        <f t="shared" ref="I49:I91" si="3">H49*B49</f>
        <v>0</v>
      </c>
      <c r="J49" s="396">
        <f t="shared" ref="J49:J91" si="4">F49*0.032</f>
        <v>2.4958080000000002</v>
      </c>
      <c r="K49" s="396">
        <f t="shared" ref="K49:K91" si="5">J49*B49</f>
        <v>0</v>
      </c>
      <c r="L49" s="396">
        <f t="shared" ref="L49:L91" si="6">F49*0.0263</f>
        <v>2.0512421999999999</v>
      </c>
      <c r="M49" s="396">
        <f t="shared" ref="M49:M91" si="7">L49*B49</f>
        <v>0</v>
      </c>
      <c r="N49" s="396">
        <f t="shared" ref="N49:N91" si="8">F49*0.0219</f>
        <v>1.7080686</v>
      </c>
      <c r="O49" s="396">
        <f t="shared" ref="O49:O91" si="9">N49*B49</f>
        <v>0</v>
      </c>
      <c r="P49" s="568"/>
    </row>
    <row r="50" spans="1:16" s="291" customFormat="1" ht="13.5" thickBot="1">
      <c r="A50" s="1172"/>
      <c r="B50" s="695"/>
      <c r="C50" s="231" t="s">
        <v>105</v>
      </c>
      <c r="D50" s="232" t="s">
        <v>325</v>
      </c>
      <c r="E50" s="704">
        <v>399</v>
      </c>
      <c r="F50" s="594">
        <f t="shared" si="0"/>
        <v>239.39999999999998</v>
      </c>
      <c r="G50" s="396">
        <f t="shared" si="1"/>
        <v>0</v>
      </c>
      <c r="H50" s="396">
        <f t="shared" si="2"/>
        <v>20.229299999999999</v>
      </c>
      <c r="I50" s="396">
        <f t="shared" si="3"/>
        <v>0</v>
      </c>
      <c r="J50" s="396">
        <f t="shared" si="4"/>
        <v>7.6607999999999992</v>
      </c>
      <c r="K50" s="396">
        <f t="shared" si="5"/>
        <v>0</v>
      </c>
      <c r="L50" s="396">
        <f t="shared" si="6"/>
        <v>6.2962199999999999</v>
      </c>
      <c r="M50" s="396">
        <f t="shared" si="7"/>
        <v>0</v>
      </c>
      <c r="N50" s="396">
        <f t="shared" si="8"/>
        <v>5.2428599999999994</v>
      </c>
      <c r="O50" s="396">
        <f t="shared" si="9"/>
        <v>0</v>
      </c>
      <c r="P50" s="568"/>
    </row>
    <row r="51" spans="1:16" s="291" customFormat="1" ht="13.5" thickBot="1">
      <c r="A51" s="1172"/>
      <c r="B51" s="695"/>
      <c r="C51" s="231" t="s">
        <v>109</v>
      </c>
      <c r="D51" s="232" t="s">
        <v>110</v>
      </c>
      <c r="E51" s="704">
        <v>400</v>
      </c>
      <c r="F51" s="594">
        <f t="shared" si="0"/>
        <v>240</v>
      </c>
      <c r="G51" s="396">
        <f t="shared" si="1"/>
        <v>0</v>
      </c>
      <c r="H51" s="396">
        <f t="shared" si="2"/>
        <v>20.28</v>
      </c>
      <c r="I51" s="396">
        <f t="shared" si="3"/>
        <v>0</v>
      </c>
      <c r="J51" s="396">
        <f t="shared" si="4"/>
        <v>7.68</v>
      </c>
      <c r="K51" s="396">
        <f t="shared" si="5"/>
        <v>0</v>
      </c>
      <c r="L51" s="396">
        <f t="shared" si="6"/>
        <v>6.3120000000000003</v>
      </c>
      <c r="M51" s="396">
        <f t="shared" si="7"/>
        <v>0</v>
      </c>
      <c r="N51" s="396">
        <f t="shared" si="8"/>
        <v>5.2560000000000002</v>
      </c>
      <c r="O51" s="396">
        <f t="shared" si="9"/>
        <v>0</v>
      </c>
      <c r="P51" s="568"/>
    </row>
    <row r="52" spans="1:16" s="291" customFormat="1" ht="13.5" thickBot="1">
      <c r="A52" s="1172"/>
      <c r="B52" s="695"/>
      <c r="C52" s="231" t="s">
        <v>538</v>
      </c>
      <c r="D52" s="232" t="s">
        <v>2656</v>
      </c>
      <c r="E52" s="704">
        <v>79</v>
      </c>
      <c r="F52" s="491">
        <f t="shared" si="0"/>
        <v>47.4</v>
      </c>
      <c r="G52" s="566">
        <f t="shared" si="1"/>
        <v>0</v>
      </c>
      <c r="H52" s="566">
        <f t="shared" si="2"/>
        <v>4.0053000000000001</v>
      </c>
      <c r="I52" s="566">
        <f t="shared" si="3"/>
        <v>0</v>
      </c>
      <c r="J52" s="566">
        <f t="shared" si="4"/>
        <v>1.5167999999999999</v>
      </c>
      <c r="K52" s="566">
        <f t="shared" si="5"/>
        <v>0</v>
      </c>
      <c r="L52" s="566">
        <f t="shared" si="6"/>
        <v>1.2466200000000001</v>
      </c>
      <c r="M52" s="566">
        <f t="shared" si="7"/>
        <v>0</v>
      </c>
      <c r="N52" s="566">
        <f t="shared" si="8"/>
        <v>1.03806</v>
      </c>
      <c r="O52" s="566">
        <f t="shared" si="9"/>
        <v>0</v>
      </c>
      <c r="P52" s="568"/>
    </row>
    <row r="53" spans="1:16" s="291" customFormat="1" ht="13.5" thickBot="1">
      <c r="A53" s="1172"/>
      <c r="B53" s="695"/>
      <c r="C53" s="231" t="s">
        <v>111</v>
      </c>
      <c r="D53" s="232" t="s">
        <v>112</v>
      </c>
      <c r="E53" s="704">
        <v>499</v>
      </c>
      <c r="F53" s="491">
        <f t="shared" si="0"/>
        <v>299.39999999999998</v>
      </c>
      <c r="G53" s="566">
        <f t="shared" si="1"/>
        <v>0</v>
      </c>
      <c r="H53" s="566">
        <f t="shared" si="2"/>
        <v>25.299299999999999</v>
      </c>
      <c r="I53" s="566">
        <f t="shared" si="3"/>
        <v>0</v>
      </c>
      <c r="J53" s="566">
        <f t="shared" si="4"/>
        <v>9.5808</v>
      </c>
      <c r="K53" s="566">
        <f t="shared" si="5"/>
        <v>0</v>
      </c>
      <c r="L53" s="566">
        <f t="shared" si="6"/>
        <v>7.8742199999999993</v>
      </c>
      <c r="M53" s="566">
        <f t="shared" si="7"/>
        <v>0</v>
      </c>
      <c r="N53" s="566">
        <f t="shared" si="8"/>
        <v>6.5568599999999995</v>
      </c>
      <c r="O53" s="566">
        <f t="shared" si="9"/>
        <v>0</v>
      </c>
      <c r="P53" s="568"/>
    </row>
    <row r="54" spans="1:16" s="291" customFormat="1" ht="13.5" thickBot="1">
      <c r="A54" s="1172"/>
      <c r="B54" s="695"/>
      <c r="C54" s="231" t="s">
        <v>77</v>
      </c>
      <c r="D54" s="232" t="s">
        <v>169</v>
      </c>
      <c r="E54" s="704">
        <v>329</v>
      </c>
      <c r="F54" s="491">
        <f t="shared" si="0"/>
        <v>197.4</v>
      </c>
      <c r="G54" s="566">
        <f t="shared" si="1"/>
        <v>0</v>
      </c>
      <c r="H54" s="566">
        <f t="shared" si="2"/>
        <v>16.680300000000003</v>
      </c>
      <c r="I54" s="566">
        <f t="shared" si="3"/>
        <v>0</v>
      </c>
      <c r="J54" s="566">
        <f t="shared" si="4"/>
        <v>6.3168000000000006</v>
      </c>
      <c r="K54" s="566">
        <f t="shared" si="5"/>
        <v>0</v>
      </c>
      <c r="L54" s="566">
        <f t="shared" si="6"/>
        <v>5.1916200000000003</v>
      </c>
      <c r="M54" s="566">
        <f t="shared" si="7"/>
        <v>0</v>
      </c>
      <c r="N54" s="566">
        <f t="shared" si="8"/>
        <v>4.3230599999999999</v>
      </c>
      <c r="O54" s="566">
        <f t="shared" si="9"/>
        <v>0</v>
      </c>
      <c r="P54" s="568"/>
    </row>
    <row r="55" spans="1:16" s="291" customFormat="1" ht="13.5" thickBot="1">
      <c r="A55" s="1172"/>
      <c r="B55" s="695"/>
      <c r="C55" s="231" t="s">
        <v>518</v>
      </c>
      <c r="D55" s="232" t="s">
        <v>3939</v>
      </c>
      <c r="E55" s="704">
        <v>235.4</v>
      </c>
      <c r="F55" s="491">
        <f t="shared" si="0"/>
        <v>141.24</v>
      </c>
      <c r="G55" s="566">
        <f>F55*B55</f>
        <v>0</v>
      </c>
      <c r="H55" s="566">
        <f t="shared" si="2"/>
        <v>11.934780000000002</v>
      </c>
      <c r="I55" s="566">
        <f t="shared" si="3"/>
        <v>0</v>
      </c>
      <c r="J55" s="566">
        <f t="shared" si="4"/>
        <v>4.5196800000000001</v>
      </c>
      <c r="K55" s="566">
        <f t="shared" si="5"/>
        <v>0</v>
      </c>
      <c r="L55" s="566">
        <f t="shared" si="6"/>
        <v>3.7146120000000002</v>
      </c>
      <c r="M55" s="566">
        <f t="shared" si="7"/>
        <v>0</v>
      </c>
      <c r="N55" s="566">
        <f t="shared" si="8"/>
        <v>3.093156</v>
      </c>
      <c r="O55" s="566">
        <f t="shared" si="9"/>
        <v>0</v>
      </c>
      <c r="P55" s="568"/>
    </row>
    <row r="56" spans="1:16" s="291" customFormat="1" ht="13.5" thickBot="1">
      <c r="A56" s="1172"/>
      <c r="B56" s="695"/>
      <c r="C56" s="231" t="s">
        <v>117</v>
      </c>
      <c r="D56" s="232" t="s">
        <v>118</v>
      </c>
      <c r="E56" s="704">
        <v>999.38</v>
      </c>
      <c r="F56" s="491">
        <f t="shared" si="0"/>
        <v>599.62799999999993</v>
      </c>
      <c r="G56" s="566">
        <f t="shared" si="1"/>
        <v>0</v>
      </c>
      <c r="H56" s="566">
        <f t="shared" si="2"/>
        <v>50.668565999999998</v>
      </c>
      <c r="I56" s="566">
        <f t="shared" si="3"/>
        <v>0</v>
      </c>
      <c r="J56" s="566">
        <f t="shared" si="4"/>
        <v>19.188095999999998</v>
      </c>
      <c r="K56" s="566">
        <f t="shared" si="5"/>
        <v>0</v>
      </c>
      <c r="L56" s="566">
        <f t="shared" si="6"/>
        <v>15.770216399999999</v>
      </c>
      <c r="M56" s="566">
        <f t="shared" si="7"/>
        <v>0</v>
      </c>
      <c r="N56" s="566">
        <f t="shared" si="8"/>
        <v>13.131853199999998</v>
      </c>
      <c r="O56" s="566">
        <f t="shared" si="9"/>
        <v>0</v>
      </c>
      <c r="P56" s="568"/>
    </row>
    <row r="57" spans="1:16" s="291" customFormat="1" ht="13.5" thickBot="1">
      <c r="A57" s="1172"/>
      <c r="B57" s="695"/>
      <c r="C57" s="231" t="s">
        <v>119</v>
      </c>
      <c r="D57" s="232" t="s">
        <v>120</v>
      </c>
      <c r="E57" s="704">
        <v>222.6</v>
      </c>
      <c r="F57" s="491">
        <f t="shared" si="0"/>
        <v>133.56</v>
      </c>
      <c r="G57" s="566">
        <f t="shared" si="1"/>
        <v>0</v>
      </c>
      <c r="H57" s="566">
        <f t="shared" si="2"/>
        <v>11.285820000000001</v>
      </c>
      <c r="I57" s="566">
        <f t="shared" si="3"/>
        <v>0</v>
      </c>
      <c r="J57" s="566">
        <f t="shared" si="4"/>
        <v>4.2739200000000004</v>
      </c>
      <c r="K57" s="566">
        <f t="shared" si="5"/>
        <v>0</v>
      </c>
      <c r="L57" s="566">
        <f t="shared" si="6"/>
        <v>3.5126280000000003</v>
      </c>
      <c r="M57" s="566">
        <f t="shared" si="7"/>
        <v>0</v>
      </c>
      <c r="N57" s="566">
        <f t="shared" si="8"/>
        <v>2.9249640000000001</v>
      </c>
      <c r="O57" s="566">
        <f t="shared" si="9"/>
        <v>0</v>
      </c>
      <c r="P57" s="568"/>
    </row>
    <row r="58" spans="1:16" s="291" customFormat="1" ht="13.5" thickBot="1">
      <c r="A58" s="1172"/>
      <c r="B58" s="695"/>
      <c r="C58" s="231" t="s">
        <v>3856</v>
      </c>
      <c r="D58" s="232" t="s">
        <v>3857</v>
      </c>
      <c r="E58" s="704">
        <v>1399.56</v>
      </c>
      <c r="F58" s="491">
        <f t="shared" si="0"/>
        <v>839.73599999999999</v>
      </c>
      <c r="G58" s="566">
        <f t="shared" si="1"/>
        <v>0</v>
      </c>
      <c r="H58" s="566">
        <f t="shared" si="2"/>
        <v>70.957692000000009</v>
      </c>
      <c r="I58" s="566">
        <f t="shared" si="3"/>
        <v>0</v>
      </c>
      <c r="J58" s="566">
        <f t="shared" si="4"/>
        <v>26.871552000000001</v>
      </c>
      <c r="K58" s="566">
        <f t="shared" si="5"/>
        <v>0</v>
      </c>
      <c r="L58" s="566">
        <f t="shared" si="6"/>
        <v>22.0850568</v>
      </c>
      <c r="M58" s="566">
        <f t="shared" si="7"/>
        <v>0</v>
      </c>
      <c r="N58" s="566">
        <f t="shared" si="8"/>
        <v>18.390218399999998</v>
      </c>
      <c r="O58" s="566">
        <f t="shared" si="9"/>
        <v>0</v>
      </c>
      <c r="P58" s="568"/>
    </row>
    <row r="59" spans="1:16" s="291" customFormat="1" ht="13.5" thickBot="1">
      <c r="A59" s="1172"/>
      <c r="B59" s="695"/>
      <c r="C59" s="231" t="s">
        <v>520</v>
      </c>
      <c r="D59" s="232" t="s">
        <v>521</v>
      </c>
      <c r="E59" s="704">
        <v>1259.3900000000001</v>
      </c>
      <c r="F59" s="491">
        <f t="shared" si="0"/>
        <v>755.63400000000001</v>
      </c>
      <c r="G59" s="566">
        <f t="shared" si="1"/>
        <v>0</v>
      </c>
      <c r="H59" s="566">
        <f t="shared" si="2"/>
        <v>63.851073000000007</v>
      </c>
      <c r="I59" s="566">
        <f t="shared" si="3"/>
        <v>0</v>
      </c>
      <c r="J59" s="566">
        <f t="shared" si="4"/>
        <v>24.180288000000001</v>
      </c>
      <c r="K59" s="566">
        <f t="shared" si="5"/>
        <v>0</v>
      </c>
      <c r="L59" s="566">
        <f t="shared" si="6"/>
        <v>19.873174200000001</v>
      </c>
      <c r="M59" s="566">
        <f t="shared" si="7"/>
        <v>0</v>
      </c>
      <c r="N59" s="566">
        <f t="shared" si="8"/>
        <v>16.548384599999999</v>
      </c>
      <c r="O59" s="566">
        <f t="shared" si="9"/>
        <v>0</v>
      </c>
      <c r="P59" s="568"/>
    </row>
    <row r="60" spans="1:16" s="291" customFormat="1" ht="13.5" thickBot="1">
      <c r="A60" s="1172"/>
      <c r="B60" s="695"/>
      <c r="C60" s="231" t="s">
        <v>3940</v>
      </c>
      <c r="D60" s="232" t="s">
        <v>3941</v>
      </c>
      <c r="E60" s="704">
        <v>2272.75</v>
      </c>
      <c r="F60" s="491">
        <f t="shared" si="0"/>
        <v>1363.6499999999999</v>
      </c>
      <c r="G60" s="566">
        <f t="shared" si="1"/>
        <v>0</v>
      </c>
      <c r="H60" s="566">
        <f t="shared" si="2"/>
        <v>115.228425</v>
      </c>
      <c r="I60" s="566">
        <f t="shared" si="3"/>
        <v>0</v>
      </c>
      <c r="J60" s="566">
        <f t="shared" si="4"/>
        <v>43.636799999999994</v>
      </c>
      <c r="K60" s="566">
        <f t="shared" si="5"/>
        <v>0</v>
      </c>
      <c r="L60" s="566">
        <f t="shared" si="6"/>
        <v>35.863994999999996</v>
      </c>
      <c r="M60" s="566">
        <f t="shared" si="7"/>
        <v>0</v>
      </c>
      <c r="N60" s="566">
        <f t="shared" si="8"/>
        <v>29.863934999999994</v>
      </c>
      <c r="O60" s="566">
        <f t="shared" si="9"/>
        <v>0</v>
      </c>
      <c r="P60" s="568"/>
    </row>
    <row r="61" spans="1:16" s="291" customFormat="1" ht="26.25" thickBot="1">
      <c r="A61" s="1172"/>
      <c r="B61" s="695"/>
      <c r="C61" s="231" t="s">
        <v>3942</v>
      </c>
      <c r="D61" s="232" t="s">
        <v>3943</v>
      </c>
      <c r="E61" s="704">
        <v>4108.8</v>
      </c>
      <c r="F61" s="491">
        <f t="shared" si="0"/>
        <v>2465.2800000000002</v>
      </c>
      <c r="G61" s="566">
        <f t="shared" si="1"/>
        <v>0</v>
      </c>
      <c r="H61" s="566">
        <f t="shared" si="2"/>
        <v>208.31616000000002</v>
      </c>
      <c r="I61" s="566">
        <f t="shared" si="3"/>
        <v>0</v>
      </c>
      <c r="J61" s="566">
        <f t="shared" si="4"/>
        <v>78.888960000000012</v>
      </c>
      <c r="K61" s="566">
        <f t="shared" si="5"/>
        <v>0</v>
      </c>
      <c r="L61" s="566">
        <f t="shared" si="6"/>
        <v>64.836864000000006</v>
      </c>
      <c r="M61" s="566">
        <f t="shared" si="7"/>
        <v>0</v>
      </c>
      <c r="N61" s="566">
        <f t="shared" si="8"/>
        <v>53.989632</v>
      </c>
      <c r="O61" s="566">
        <f t="shared" si="9"/>
        <v>0</v>
      </c>
      <c r="P61" s="568"/>
    </row>
    <row r="62" spans="1:16" s="291" customFormat="1" ht="26.25" thickBot="1">
      <c r="A62" s="1172"/>
      <c r="B62" s="695"/>
      <c r="C62" s="231" t="s">
        <v>3954</v>
      </c>
      <c r="D62" s="232" t="s">
        <v>3944</v>
      </c>
      <c r="E62" s="704">
        <v>4019.99</v>
      </c>
      <c r="F62" s="491">
        <f t="shared" si="0"/>
        <v>2411.9939999999997</v>
      </c>
      <c r="G62" s="566">
        <f t="shared" si="1"/>
        <v>0</v>
      </c>
      <c r="H62" s="566">
        <f t="shared" si="2"/>
        <v>203.81349299999999</v>
      </c>
      <c r="I62" s="566">
        <f t="shared" si="3"/>
        <v>0</v>
      </c>
      <c r="J62" s="566">
        <f t="shared" si="4"/>
        <v>77.183807999999985</v>
      </c>
      <c r="K62" s="566">
        <f t="shared" si="5"/>
        <v>0</v>
      </c>
      <c r="L62" s="566">
        <f t="shared" si="6"/>
        <v>63.43544219999999</v>
      </c>
      <c r="M62" s="566">
        <f t="shared" si="7"/>
        <v>0</v>
      </c>
      <c r="N62" s="566">
        <f t="shared" si="8"/>
        <v>52.822668599999993</v>
      </c>
      <c r="O62" s="566">
        <f t="shared" si="9"/>
        <v>0</v>
      </c>
      <c r="P62" s="568"/>
    </row>
    <row r="63" spans="1:16" s="291" customFormat="1" ht="26.25" thickBot="1">
      <c r="A63" s="1172"/>
      <c r="B63" s="695"/>
      <c r="C63" s="231" t="s">
        <v>3953</v>
      </c>
      <c r="D63" s="232" t="s">
        <v>3945</v>
      </c>
      <c r="E63" s="704">
        <v>5761.95</v>
      </c>
      <c r="F63" s="491">
        <f t="shared" si="0"/>
        <v>3457.1699999999996</v>
      </c>
      <c r="G63" s="566">
        <f t="shared" si="1"/>
        <v>0</v>
      </c>
      <c r="H63" s="566">
        <f t="shared" si="2"/>
        <v>292.13086499999997</v>
      </c>
      <c r="I63" s="566">
        <f t="shared" si="3"/>
        <v>0</v>
      </c>
      <c r="J63" s="566">
        <f t="shared" si="4"/>
        <v>110.62943999999999</v>
      </c>
      <c r="K63" s="566">
        <f t="shared" si="5"/>
        <v>0</v>
      </c>
      <c r="L63" s="566">
        <f t="shared" si="6"/>
        <v>90.923570999999995</v>
      </c>
      <c r="M63" s="566">
        <f t="shared" si="7"/>
        <v>0</v>
      </c>
      <c r="N63" s="566">
        <f t="shared" si="8"/>
        <v>75.712022999999988</v>
      </c>
      <c r="O63" s="566">
        <f t="shared" si="9"/>
        <v>0</v>
      </c>
      <c r="P63" s="568"/>
    </row>
    <row r="64" spans="1:16" s="291" customFormat="1" ht="13.5" thickBot="1">
      <c r="A64" s="1172"/>
      <c r="B64" s="695"/>
      <c r="C64" s="231" t="s">
        <v>366</v>
      </c>
      <c r="D64" s="232" t="s">
        <v>367</v>
      </c>
      <c r="E64" s="704">
        <v>588.5</v>
      </c>
      <c r="F64" s="491">
        <f t="shared" si="0"/>
        <v>353.09999999999997</v>
      </c>
      <c r="G64" s="566">
        <f t="shared" si="1"/>
        <v>0</v>
      </c>
      <c r="H64" s="566">
        <f t="shared" si="2"/>
        <v>29.836949999999998</v>
      </c>
      <c r="I64" s="566">
        <f t="shared" si="3"/>
        <v>0</v>
      </c>
      <c r="J64" s="566">
        <f t="shared" si="4"/>
        <v>11.299199999999999</v>
      </c>
      <c r="K64" s="566">
        <f t="shared" si="5"/>
        <v>0</v>
      </c>
      <c r="L64" s="566">
        <f t="shared" si="6"/>
        <v>9.2865299999999991</v>
      </c>
      <c r="M64" s="566">
        <f t="shared" si="7"/>
        <v>0</v>
      </c>
      <c r="N64" s="566">
        <f t="shared" si="8"/>
        <v>7.7328899999999994</v>
      </c>
      <c r="O64" s="566">
        <f t="shared" si="9"/>
        <v>0</v>
      </c>
      <c r="P64" s="568"/>
    </row>
    <row r="65" spans="1:16" s="291" customFormat="1" ht="13.5" thickBot="1">
      <c r="A65" s="1172"/>
      <c r="B65" s="695"/>
      <c r="C65" s="231" t="s">
        <v>522</v>
      </c>
      <c r="D65" s="232" t="s">
        <v>3946</v>
      </c>
      <c r="E65" s="704">
        <v>101.65</v>
      </c>
      <c r="F65" s="491">
        <f t="shared" si="0"/>
        <v>60.99</v>
      </c>
      <c r="G65" s="566">
        <f t="shared" si="1"/>
        <v>0</v>
      </c>
      <c r="H65" s="566">
        <f t="shared" si="2"/>
        <v>5.1536550000000005</v>
      </c>
      <c r="I65" s="566">
        <f t="shared" si="3"/>
        <v>0</v>
      </c>
      <c r="J65" s="566">
        <f t="shared" si="4"/>
        <v>1.9516800000000001</v>
      </c>
      <c r="K65" s="566">
        <f t="shared" si="5"/>
        <v>0</v>
      </c>
      <c r="L65" s="566">
        <f t="shared" si="6"/>
        <v>1.6040370000000002</v>
      </c>
      <c r="M65" s="566">
        <f t="shared" si="7"/>
        <v>0</v>
      </c>
      <c r="N65" s="566">
        <f t="shared" si="8"/>
        <v>1.3356809999999999</v>
      </c>
      <c r="O65" s="566">
        <f t="shared" si="9"/>
        <v>0</v>
      </c>
      <c r="P65" s="568"/>
    </row>
    <row r="66" spans="1:16" s="291" customFormat="1" ht="13.5" thickBot="1">
      <c r="A66" s="1172"/>
      <c r="B66" s="695"/>
      <c r="C66" s="231" t="s">
        <v>3865</v>
      </c>
      <c r="D66" s="232" t="s">
        <v>3866</v>
      </c>
      <c r="E66" s="704">
        <v>145.52000000000001</v>
      </c>
      <c r="F66" s="491">
        <f t="shared" si="0"/>
        <v>87.311999999999998</v>
      </c>
      <c r="G66" s="566">
        <f t="shared" si="1"/>
        <v>0</v>
      </c>
      <c r="H66" s="566">
        <f t="shared" si="2"/>
        <v>7.3778640000000006</v>
      </c>
      <c r="I66" s="566">
        <f t="shared" si="3"/>
        <v>0</v>
      </c>
      <c r="J66" s="566">
        <f t="shared" si="4"/>
        <v>2.793984</v>
      </c>
      <c r="K66" s="566">
        <f t="shared" si="5"/>
        <v>0</v>
      </c>
      <c r="L66" s="566">
        <f t="shared" si="6"/>
        <v>2.2963056000000002</v>
      </c>
      <c r="M66" s="566">
        <f t="shared" si="7"/>
        <v>0</v>
      </c>
      <c r="N66" s="566">
        <f t="shared" si="8"/>
        <v>1.9121328</v>
      </c>
      <c r="O66" s="566">
        <f t="shared" si="9"/>
        <v>0</v>
      </c>
      <c r="P66" s="568"/>
    </row>
    <row r="67" spans="1:16" s="291" customFormat="1" ht="13.5" thickBot="1">
      <c r="A67" s="1172"/>
      <c r="B67" s="695"/>
      <c r="C67" s="231" t="s">
        <v>127</v>
      </c>
      <c r="D67" s="232" t="s">
        <v>3947</v>
      </c>
      <c r="E67" s="704">
        <v>148.72999999999999</v>
      </c>
      <c r="F67" s="491">
        <f t="shared" si="0"/>
        <v>89.237999999999985</v>
      </c>
      <c r="G67" s="566">
        <f t="shared" si="1"/>
        <v>0</v>
      </c>
      <c r="H67" s="566">
        <f t="shared" si="2"/>
        <v>7.5406109999999993</v>
      </c>
      <c r="I67" s="566">
        <f t="shared" si="3"/>
        <v>0</v>
      </c>
      <c r="J67" s="566">
        <f t="shared" si="4"/>
        <v>2.8556159999999995</v>
      </c>
      <c r="K67" s="566">
        <f t="shared" si="5"/>
        <v>0</v>
      </c>
      <c r="L67" s="566">
        <f t="shared" si="6"/>
        <v>2.3469593999999998</v>
      </c>
      <c r="M67" s="566">
        <f t="shared" si="7"/>
        <v>0</v>
      </c>
      <c r="N67" s="566">
        <f t="shared" si="8"/>
        <v>1.9543121999999997</v>
      </c>
      <c r="O67" s="566">
        <f t="shared" si="9"/>
        <v>0</v>
      </c>
      <c r="P67" s="568"/>
    </row>
    <row r="68" spans="1:16" s="291" customFormat="1" ht="26.25" thickBot="1">
      <c r="A68" s="1172"/>
      <c r="B68" s="695"/>
      <c r="C68" s="231" t="s">
        <v>129</v>
      </c>
      <c r="D68" s="232" t="s">
        <v>171</v>
      </c>
      <c r="E68" s="704">
        <v>785</v>
      </c>
      <c r="F68" s="491">
        <f t="shared" si="0"/>
        <v>471</v>
      </c>
      <c r="G68" s="566">
        <f t="shared" si="1"/>
        <v>0</v>
      </c>
      <c r="H68" s="566">
        <f t="shared" si="2"/>
        <v>39.799500000000002</v>
      </c>
      <c r="I68" s="566">
        <f t="shared" si="3"/>
        <v>0</v>
      </c>
      <c r="J68" s="566">
        <f t="shared" si="4"/>
        <v>15.072000000000001</v>
      </c>
      <c r="K68" s="566">
        <f t="shared" si="5"/>
        <v>0</v>
      </c>
      <c r="L68" s="566">
        <f t="shared" si="6"/>
        <v>12.3873</v>
      </c>
      <c r="M68" s="566">
        <f t="shared" si="7"/>
        <v>0</v>
      </c>
      <c r="N68" s="566">
        <f t="shared" si="8"/>
        <v>10.3149</v>
      </c>
      <c r="O68" s="566">
        <f t="shared" si="9"/>
        <v>0</v>
      </c>
      <c r="P68" s="568"/>
    </row>
    <row r="69" spans="1:16" s="291" customFormat="1" ht="13.5" thickBot="1">
      <c r="A69" s="1172"/>
      <c r="B69" s="695"/>
      <c r="C69" s="231" t="s">
        <v>131</v>
      </c>
      <c r="D69" s="232" t="s">
        <v>172</v>
      </c>
      <c r="E69" s="704">
        <v>821</v>
      </c>
      <c r="F69" s="491">
        <f t="shared" si="0"/>
        <v>492.59999999999997</v>
      </c>
      <c r="G69" s="566">
        <f t="shared" si="1"/>
        <v>0</v>
      </c>
      <c r="H69" s="566">
        <f t="shared" si="2"/>
        <v>41.624699999999997</v>
      </c>
      <c r="I69" s="566">
        <f t="shared" si="3"/>
        <v>0</v>
      </c>
      <c r="J69" s="566">
        <f t="shared" si="4"/>
        <v>15.763199999999999</v>
      </c>
      <c r="K69" s="566">
        <f t="shared" si="5"/>
        <v>0</v>
      </c>
      <c r="L69" s="566">
        <f t="shared" si="6"/>
        <v>12.95538</v>
      </c>
      <c r="M69" s="566">
        <f t="shared" si="7"/>
        <v>0</v>
      </c>
      <c r="N69" s="566">
        <f t="shared" si="8"/>
        <v>10.787939999999999</v>
      </c>
      <c r="O69" s="566">
        <f t="shared" si="9"/>
        <v>0</v>
      </c>
      <c r="P69" s="568"/>
    </row>
    <row r="70" spans="1:16" s="291" customFormat="1" ht="13.5" thickBot="1">
      <c r="A70" s="1172"/>
      <c r="B70" s="695"/>
      <c r="C70" s="231" t="s">
        <v>133</v>
      </c>
      <c r="D70" s="232" t="s">
        <v>134</v>
      </c>
      <c r="E70" s="704">
        <v>690</v>
      </c>
      <c r="F70" s="491">
        <f t="shared" si="0"/>
        <v>414</v>
      </c>
      <c r="G70" s="566">
        <f t="shared" si="1"/>
        <v>0</v>
      </c>
      <c r="H70" s="566">
        <f t="shared" si="2"/>
        <v>34.983000000000004</v>
      </c>
      <c r="I70" s="566">
        <f t="shared" si="3"/>
        <v>0</v>
      </c>
      <c r="J70" s="566">
        <f t="shared" si="4"/>
        <v>13.248000000000001</v>
      </c>
      <c r="K70" s="566">
        <f t="shared" si="5"/>
        <v>0</v>
      </c>
      <c r="L70" s="566">
        <f t="shared" si="6"/>
        <v>10.888199999999999</v>
      </c>
      <c r="M70" s="566">
        <f t="shared" si="7"/>
        <v>0</v>
      </c>
      <c r="N70" s="566">
        <f t="shared" si="8"/>
        <v>9.0665999999999993</v>
      </c>
      <c r="O70" s="566">
        <f t="shared" si="9"/>
        <v>0</v>
      </c>
      <c r="P70" s="568"/>
    </row>
    <row r="71" spans="1:16" s="291" customFormat="1" ht="13.5" thickBot="1">
      <c r="A71" s="1172"/>
      <c r="B71" s="695"/>
      <c r="C71" s="231" t="s">
        <v>135</v>
      </c>
      <c r="D71" s="232" t="s">
        <v>136</v>
      </c>
      <c r="E71" s="704">
        <v>191</v>
      </c>
      <c r="F71" s="491">
        <f t="shared" si="0"/>
        <v>114.6</v>
      </c>
      <c r="G71" s="566">
        <f t="shared" si="1"/>
        <v>0</v>
      </c>
      <c r="H71" s="566">
        <f t="shared" si="2"/>
        <v>9.6837</v>
      </c>
      <c r="I71" s="566">
        <f t="shared" si="3"/>
        <v>0</v>
      </c>
      <c r="J71" s="566">
        <f t="shared" si="4"/>
        <v>3.6671999999999998</v>
      </c>
      <c r="K71" s="566">
        <f t="shared" si="5"/>
        <v>0</v>
      </c>
      <c r="L71" s="566">
        <f t="shared" si="6"/>
        <v>3.0139800000000001</v>
      </c>
      <c r="M71" s="566">
        <f t="shared" si="7"/>
        <v>0</v>
      </c>
      <c r="N71" s="566">
        <f t="shared" si="8"/>
        <v>2.5097399999999999</v>
      </c>
      <c r="O71" s="566">
        <f t="shared" si="9"/>
        <v>0</v>
      </c>
      <c r="P71" s="568"/>
    </row>
    <row r="72" spans="1:16" s="291" customFormat="1" ht="26.25" thickBot="1">
      <c r="A72" s="1172"/>
      <c r="B72" s="695"/>
      <c r="C72" s="231" t="s">
        <v>137</v>
      </c>
      <c r="D72" s="232" t="s">
        <v>3867</v>
      </c>
      <c r="E72" s="704">
        <v>667.8</v>
      </c>
      <c r="F72" s="491">
        <f t="shared" si="0"/>
        <v>400.67999999999995</v>
      </c>
      <c r="G72" s="566">
        <f t="shared" si="1"/>
        <v>0</v>
      </c>
      <c r="H72" s="566">
        <f t="shared" si="2"/>
        <v>33.857459999999996</v>
      </c>
      <c r="I72" s="566">
        <f t="shared" si="3"/>
        <v>0</v>
      </c>
      <c r="J72" s="566">
        <f t="shared" si="4"/>
        <v>12.821759999999999</v>
      </c>
      <c r="K72" s="566">
        <f t="shared" si="5"/>
        <v>0</v>
      </c>
      <c r="L72" s="566">
        <f t="shared" si="6"/>
        <v>10.537883999999998</v>
      </c>
      <c r="M72" s="566">
        <f t="shared" si="7"/>
        <v>0</v>
      </c>
      <c r="N72" s="566">
        <f t="shared" si="8"/>
        <v>8.7748919999999995</v>
      </c>
      <c r="O72" s="566">
        <f t="shared" si="9"/>
        <v>0</v>
      </c>
      <c r="P72" s="568"/>
    </row>
    <row r="73" spans="1:16" s="291" customFormat="1" ht="26.25" thickBot="1">
      <c r="A73" s="1172"/>
      <c r="B73" s="695"/>
      <c r="C73" s="231" t="s">
        <v>139</v>
      </c>
      <c r="D73" s="232" t="s">
        <v>140</v>
      </c>
      <c r="E73" s="704">
        <v>250</v>
      </c>
      <c r="F73" s="491">
        <f t="shared" si="0"/>
        <v>150</v>
      </c>
      <c r="G73" s="566">
        <f t="shared" si="1"/>
        <v>0</v>
      </c>
      <c r="H73" s="566">
        <f t="shared" si="2"/>
        <v>12.675000000000001</v>
      </c>
      <c r="I73" s="566">
        <f t="shared" si="3"/>
        <v>0</v>
      </c>
      <c r="J73" s="566">
        <f t="shared" si="4"/>
        <v>4.8</v>
      </c>
      <c r="K73" s="566">
        <f t="shared" si="5"/>
        <v>0</v>
      </c>
      <c r="L73" s="566">
        <f t="shared" si="6"/>
        <v>3.9450000000000003</v>
      </c>
      <c r="M73" s="566">
        <f t="shared" si="7"/>
        <v>0</v>
      </c>
      <c r="N73" s="566">
        <f t="shared" si="8"/>
        <v>3.2849999999999997</v>
      </c>
      <c r="O73" s="566">
        <f t="shared" si="9"/>
        <v>0</v>
      </c>
      <c r="P73" s="568"/>
    </row>
    <row r="74" spans="1:16" s="291" customFormat="1" ht="13.5" thickBot="1">
      <c r="A74" s="1172"/>
      <c r="B74" s="695"/>
      <c r="C74" s="231" t="s">
        <v>141</v>
      </c>
      <c r="D74" s="232" t="s">
        <v>3948</v>
      </c>
      <c r="E74" s="704">
        <v>250</v>
      </c>
      <c r="F74" s="491">
        <f t="shared" si="0"/>
        <v>150</v>
      </c>
      <c r="G74" s="566">
        <f t="shared" si="1"/>
        <v>0</v>
      </c>
      <c r="H74" s="566">
        <f t="shared" si="2"/>
        <v>12.675000000000001</v>
      </c>
      <c r="I74" s="566">
        <f t="shared" si="3"/>
        <v>0</v>
      </c>
      <c r="J74" s="566">
        <f t="shared" si="4"/>
        <v>4.8</v>
      </c>
      <c r="K74" s="566">
        <f t="shared" si="5"/>
        <v>0</v>
      </c>
      <c r="L74" s="566">
        <f t="shared" si="6"/>
        <v>3.9450000000000003</v>
      </c>
      <c r="M74" s="566">
        <f t="shared" si="7"/>
        <v>0</v>
      </c>
      <c r="N74" s="566">
        <f t="shared" si="8"/>
        <v>3.2849999999999997</v>
      </c>
      <c r="O74" s="566">
        <f t="shared" si="9"/>
        <v>0</v>
      </c>
      <c r="P74" s="568"/>
    </row>
    <row r="75" spans="1:16" s="291" customFormat="1" ht="13.5" thickBot="1">
      <c r="A75" s="1172"/>
      <c r="B75" s="695"/>
      <c r="C75" s="231" t="s">
        <v>469</v>
      </c>
      <c r="D75" s="232" t="s">
        <v>470</v>
      </c>
      <c r="E75" s="704">
        <v>3919.41</v>
      </c>
      <c r="F75" s="491">
        <f t="shared" si="0"/>
        <v>2351.6459999999997</v>
      </c>
      <c r="G75" s="566">
        <f t="shared" si="1"/>
        <v>0</v>
      </c>
      <c r="H75" s="566">
        <f t="shared" si="2"/>
        <v>198.71408699999998</v>
      </c>
      <c r="I75" s="566">
        <f t="shared" si="3"/>
        <v>0</v>
      </c>
      <c r="J75" s="566">
        <f t="shared" si="4"/>
        <v>75.25267199999999</v>
      </c>
      <c r="K75" s="566">
        <f t="shared" si="5"/>
        <v>0</v>
      </c>
      <c r="L75" s="566">
        <f t="shared" si="6"/>
        <v>61.848289799999996</v>
      </c>
      <c r="M75" s="566">
        <f t="shared" si="7"/>
        <v>0</v>
      </c>
      <c r="N75" s="566">
        <f t="shared" si="8"/>
        <v>51.50104739999999</v>
      </c>
      <c r="O75" s="566">
        <f t="shared" si="9"/>
        <v>0</v>
      </c>
      <c r="P75" s="568"/>
    </row>
    <row r="76" spans="1:16" s="291" customFormat="1" ht="13.5" thickBot="1">
      <c r="A76" s="1172"/>
      <c r="B76" s="695"/>
      <c r="C76" s="231" t="s">
        <v>471</v>
      </c>
      <c r="D76" s="232" t="s">
        <v>472</v>
      </c>
      <c r="E76" s="704">
        <v>2083.29</v>
      </c>
      <c r="F76" s="491">
        <f t="shared" si="0"/>
        <v>1249.9739999999999</v>
      </c>
      <c r="G76" s="566">
        <f t="shared" si="1"/>
        <v>0</v>
      </c>
      <c r="H76" s="566">
        <f t="shared" si="2"/>
        <v>105.622803</v>
      </c>
      <c r="I76" s="566">
        <f t="shared" si="3"/>
        <v>0</v>
      </c>
      <c r="J76" s="566">
        <f t="shared" si="4"/>
        <v>39.999167999999997</v>
      </c>
      <c r="K76" s="566">
        <f t="shared" si="5"/>
        <v>0</v>
      </c>
      <c r="L76" s="566">
        <f t="shared" si="6"/>
        <v>32.874316199999996</v>
      </c>
      <c r="M76" s="566">
        <f t="shared" si="7"/>
        <v>0</v>
      </c>
      <c r="N76" s="566">
        <f t="shared" si="8"/>
        <v>27.374430599999997</v>
      </c>
      <c r="O76" s="566">
        <f t="shared" si="9"/>
        <v>0</v>
      </c>
      <c r="P76" s="568"/>
    </row>
    <row r="77" spans="1:16" s="291" customFormat="1" ht="13.5" thickBot="1">
      <c r="A77" s="1172"/>
      <c r="B77" s="695"/>
      <c r="C77" s="231" t="s">
        <v>523</v>
      </c>
      <c r="D77" s="232" t="s">
        <v>524</v>
      </c>
      <c r="E77" s="704">
        <v>1915.3</v>
      </c>
      <c r="F77" s="491">
        <f t="shared" si="0"/>
        <v>1149.1799999999998</v>
      </c>
      <c r="G77" s="566">
        <f t="shared" si="1"/>
        <v>0</v>
      </c>
      <c r="H77" s="566">
        <f t="shared" si="2"/>
        <v>97.105709999999988</v>
      </c>
      <c r="I77" s="566">
        <f t="shared" si="3"/>
        <v>0</v>
      </c>
      <c r="J77" s="566">
        <f t="shared" si="4"/>
        <v>36.773759999999996</v>
      </c>
      <c r="K77" s="566">
        <f t="shared" si="5"/>
        <v>0</v>
      </c>
      <c r="L77" s="566">
        <f t="shared" si="6"/>
        <v>30.223433999999997</v>
      </c>
      <c r="M77" s="566">
        <f t="shared" si="7"/>
        <v>0</v>
      </c>
      <c r="N77" s="566">
        <f t="shared" si="8"/>
        <v>25.167041999999995</v>
      </c>
      <c r="O77" s="566">
        <f t="shared" si="9"/>
        <v>0</v>
      </c>
      <c r="P77" s="568"/>
    </row>
    <row r="78" spans="1:16" s="291" customFormat="1" ht="26.25" thickBot="1">
      <c r="A78" s="1172"/>
      <c r="B78" s="695"/>
      <c r="C78" s="231" t="s">
        <v>218</v>
      </c>
      <c r="D78" s="232" t="s">
        <v>253</v>
      </c>
      <c r="E78" s="704">
        <v>70.62</v>
      </c>
      <c r="F78" s="491">
        <f t="shared" si="0"/>
        <v>42.372</v>
      </c>
      <c r="G78" s="566">
        <f t="shared" si="1"/>
        <v>0</v>
      </c>
      <c r="H78" s="566">
        <f t="shared" si="2"/>
        <v>3.5804340000000003</v>
      </c>
      <c r="I78" s="566">
        <f t="shared" si="3"/>
        <v>0</v>
      </c>
      <c r="J78" s="566">
        <f t="shared" si="4"/>
        <v>1.355904</v>
      </c>
      <c r="K78" s="566">
        <f t="shared" si="5"/>
        <v>0</v>
      </c>
      <c r="L78" s="566">
        <f t="shared" si="6"/>
        <v>1.1143836</v>
      </c>
      <c r="M78" s="566">
        <f t="shared" si="7"/>
        <v>0</v>
      </c>
      <c r="N78" s="566">
        <f t="shared" si="8"/>
        <v>0.92794679999999996</v>
      </c>
      <c r="O78" s="566">
        <f t="shared" si="9"/>
        <v>0</v>
      </c>
      <c r="P78" s="568"/>
    </row>
    <row r="79" spans="1:16" s="291" customFormat="1" ht="13.5" thickBot="1">
      <c r="A79" s="1172"/>
      <c r="B79" s="695"/>
      <c r="C79" s="231" t="s">
        <v>525</v>
      </c>
      <c r="D79" s="232" t="s">
        <v>526</v>
      </c>
      <c r="E79" s="704">
        <v>529.65</v>
      </c>
      <c r="F79" s="491">
        <f t="shared" si="0"/>
        <v>317.78999999999996</v>
      </c>
      <c r="G79" s="566">
        <f t="shared" si="1"/>
        <v>0</v>
      </c>
      <c r="H79" s="566">
        <f t="shared" si="2"/>
        <v>26.853254999999997</v>
      </c>
      <c r="I79" s="566">
        <f t="shared" si="3"/>
        <v>0</v>
      </c>
      <c r="J79" s="566">
        <f t="shared" si="4"/>
        <v>10.169279999999999</v>
      </c>
      <c r="K79" s="566">
        <f t="shared" si="5"/>
        <v>0</v>
      </c>
      <c r="L79" s="566">
        <f t="shared" si="6"/>
        <v>8.3578769999999984</v>
      </c>
      <c r="M79" s="566">
        <f t="shared" si="7"/>
        <v>0</v>
      </c>
      <c r="N79" s="566">
        <f t="shared" si="8"/>
        <v>6.9596009999999993</v>
      </c>
      <c r="O79" s="566">
        <f t="shared" si="9"/>
        <v>0</v>
      </c>
      <c r="P79" s="568"/>
    </row>
    <row r="80" spans="1:16" s="291" customFormat="1" ht="13.5" thickBot="1">
      <c r="A80" s="1172"/>
      <c r="B80" s="695"/>
      <c r="C80" s="231" t="s">
        <v>528</v>
      </c>
      <c r="D80" s="232" t="s">
        <v>3912</v>
      </c>
      <c r="E80" s="704">
        <v>1306.47</v>
      </c>
      <c r="F80" s="491">
        <f t="shared" si="0"/>
        <v>783.88199999999995</v>
      </c>
      <c r="G80" s="566">
        <f t="shared" si="1"/>
        <v>0</v>
      </c>
      <c r="H80" s="566">
        <f t="shared" si="2"/>
        <v>66.238028999999997</v>
      </c>
      <c r="I80" s="566">
        <f t="shared" si="3"/>
        <v>0</v>
      </c>
      <c r="J80" s="566">
        <f t="shared" si="4"/>
        <v>25.084223999999999</v>
      </c>
      <c r="K80" s="566">
        <f t="shared" si="5"/>
        <v>0</v>
      </c>
      <c r="L80" s="566">
        <f t="shared" si="6"/>
        <v>20.616096599999999</v>
      </c>
      <c r="M80" s="566">
        <f t="shared" si="7"/>
        <v>0</v>
      </c>
      <c r="N80" s="566">
        <f t="shared" si="8"/>
        <v>17.167015799999998</v>
      </c>
      <c r="O80" s="566">
        <f t="shared" si="9"/>
        <v>0</v>
      </c>
      <c r="P80" s="568"/>
    </row>
    <row r="81" spans="1:16" s="291" customFormat="1" ht="26.25" thickBot="1">
      <c r="A81" s="1172"/>
      <c r="B81" s="695"/>
      <c r="C81" s="231" t="s">
        <v>256</v>
      </c>
      <c r="D81" s="232" t="s">
        <v>3875</v>
      </c>
      <c r="E81" s="704">
        <v>690.15</v>
      </c>
      <c r="F81" s="491">
        <f t="shared" si="0"/>
        <v>414.09</v>
      </c>
      <c r="G81" s="566">
        <f t="shared" si="1"/>
        <v>0</v>
      </c>
      <c r="H81" s="566">
        <f t="shared" si="2"/>
        <v>34.990605000000002</v>
      </c>
      <c r="I81" s="566">
        <f t="shared" si="3"/>
        <v>0</v>
      </c>
      <c r="J81" s="566">
        <f t="shared" si="4"/>
        <v>13.250879999999999</v>
      </c>
      <c r="K81" s="566">
        <f t="shared" si="5"/>
        <v>0</v>
      </c>
      <c r="L81" s="566">
        <f t="shared" si="6"/>
        <v>10.890566999999999</v>
      </c>
      <c r="M81" s="566">
        <f t="shared" si="7"/>
        <v>0</v>
      </c>
      <c r="N81" s="566">
        <f t="shared" si="8"/>
        <v>9.0685709999999986</v>
      </c>
      <c r="O81" s="566">
        <f t="shared" si="9"/>
        <v>0</v>
      </c>
      <c r="P81" s="568"/>
    </row>
    <row r="82" spans="1:16" s="291" customFormat="1" ht="26.25" thickBot="1">
      <c r="A82" s="1172"/>
      <c r="B82" s="695"/>
      <c r="C82" s="231" t="s">
        <v>368</v>
      </c>
      <c r="D82" s="232" t="s">
        <v>434</v>
      </c>
      <c r="E82" s="704">
        <v>1000.45</v>
      </c>
      <c r="F82" s="491">
        <f t="shared" si="0"/>
        <v>600.27</v>
      </c>
      <c r="G82" s="566">
        <f t="shared" si="1"/>
        <v>0</v>
      </c>
      <c r="H82" s="566">
        <f t="shared" si="2"/>
        <v>50.722815000000004</v>
      </c>
      <c r="I82" s="566">
        <f t="shared" si="3"/>
        <v>0</v>
      </c>
      <c r="J82" s="566">
        <f t="shared" si="4"/>
        <v>19.208639999999999</v>
      </c>
      <c r="K82" s="566">
        <f t="shared" si="5"/>
        <v>0</v>
      </c>
      <c r="L82" s="566">
        <f t="shared" si="6"/>
        <v>15.787101</v>
      </c>
      <c r="M82" s="566">
        <f t="shared" si="7"/>
        <v>0</v>
      </c>
      <c r="N82" s="566">
        <f t="shared" si="8"/>
        <v>13.145912999999998</v>
      </c>
      <c r="O82" s="566">
        <f t="shared" si="9"/>
        <v>0</v>
      </c>
      <c r="P82" s="568"/>
    </row>
    <row r="83" spans="1:16" s="291" customFormat="1" ht="13.5" thickBot="1">
      <c r="A83" s="1172"/>
      <c r="B83" s="695"/>
      <c r="C83" s="231" t="s">
        <v>529</v>
      </c>
      <c r="D83" s="232" t="s">
        <v>3949</v>
      </c>
      <c r="E83" s="704">
        <v>1442.36</v>
      </c>
      <c r="F83" s="491">
        <f t="shared" si="0"/>
        <v>865.41599999999994</v>
      </c>
      <c r="G83" s="566">
        <f t="shared" si="1"/>
        <v>0</v>
      </c>
      <c r="H83" s="566">
        <f t="shared" si="2"/>
        <v>73.127651999999998</v>
      </c>
      <c r="I83" s="566">
        <f t="shared" si="3"/>
        <v>0</v>
      </c>
      <c r="J83" s="566">
        <f t="shared" si="4"/>
        <v>27.693311999999999</v>
      </c>
      <c r="K83" s="566">
        <f t="shared" si="5"/>
        <v>0</v>
      </c>
      <c r="L83" s="566">
        <f t="shared" si="6"/>
        <v>22.760440799999998</v>
      </c>
      <c r="M83" s="566">
        <f t="shared" si="7"/>
        <v>0</v>
      </c>
      <c r="N83" s="566">
        <f t="shared" si="8"/>
        <v>18.952610399999998</v>
      </c>
      <c r="O83" s="566">
        <f t="shared" si="9"/>
        <v>0</v>
      </c>
      <c r="P83" s="568"/>
    </row>
    <row r="84" spans="1:16" s="291" customFormat="1" ht="13.5" thickBot="1">
      <c r="A84" s="1172"/>
      <c r="B84" s="695"/>
      <c r="C84" s="231" t="s">
        <v>258</v>
      </c>
      <c r="D84" s="232" t="s">
        <v>223</v>
      </c>
      <c r="E84" s="704">
        <v>56.71</v>
      </c>
      <c r="F84" s="491">
        <f t="shared" si="0"/>
        <v>34.025999999999996</v>
      </c>
      <c r="G84" s="566">
        <f t="shared" si="1"/>
        <v>0</v>
      </c>
      <c r="H84" s="566">
        <f t="shared" si="2"/>
        <v>2.875197</v>
      </c>
      <c r="I84" s="566">
        <f t="shared" si="3"/>
        <v>0</v>
      </c>
      <c r="J84" s="566">
        <f t="shared" si="4"/>
        <v>1.0888319999999998</v>
      </c>
      <c r="K84" s="566">
        <f t="shared" si="5"/>
        <v>0</v>
      </c>
      <c r="L84" s="566">
        <f t="shared" si="6"/>
        <v>0.8948837999999999</v>
      </c>
      <c r="M84" s="566">
        <f t="shared" si="7"/>
        <v>0</v>
      </c>
      <c r="N84" s="566">
        <f t="shared" si="8"/>
        <v>0.74516939999999987</v>
      </c>
      <c r="O84" s="566">
        <f t="shared" si="9"/>
        <v>0</v>
      </c>
      <c r="P84" s="568"/>
    </row>
    <row r="85" spans="1:16" s="291" customFormat="1" ht="13.5" thickBot="1">
      <c r="A85" s="1172"/>
      <c r="B85" s="695"/>
      <c r="C85" s="231" t="s">
        <v>259</v>
      </c>
      <c r="D85" s="232" t="s">
        <v>436</v>
      </c>
      <c r="E85" s="704">
        <v>32.1</v>
      </c>
      <c r="F85" s="491">
        <f t="shared" si="0"/>
        <v>19.260000000000002</v>
      </c>
      <c r="G85" s="566">
        <f t="shared" si="1"/>
        <v>0</v>
      </c>
      <c r="H85" s="566">
        <f t="shared" si="2"/>
        <v>1.6274700000000002</v>
      </c>
      <c r="I85" s="566">
        <f t="shared" si="3"/>
        <v>0</v>
      </c>
      <c r="J85" s="566">
        <f t="shared" si="4"/>
        <v>0.61632000000000009</v>
      </c>
      <c r="K85" s="566">
        <f t="shared" si="5"/>
        <v>0</v>
      </c>
      <c r="L85" s="566">
        <f t="shared" si="6"/>
        <v>0.50653800000000004</v>
      </c>
      <c r="M85" s="566">
        <f t="shared" si="7"/>
        <v>0</v>
      </c>
      <c r="N85" s="566">
        <f t="shared" si="8"/>
        <v>0.421794</v>
      </c>
      <c r="O85" s="566">
        <f t="shared" si="9"/>
        <v>0</v>
      </c>
      <c r="P85" s="568"/>
    </row>
    <row r="86" spans="1:16" s="291" customFormat="1" ht="13.5" thickBot="1">
      <c r="A86" s="1172"/>
      <c r="B86" s="695"/>
      <c r="C86" s="231" t="s">
        <v>527</v>
      </c>
      <c r="D86" s="232" t="s">
        <v>224</v>
      </c>
      <c r="E86" s="704">
        <v>35.31</v>
      </c>
      <c r="F86" s="491">
        <f t="shared" si="0"/>
        <v>21.186</v>
      </c>
      <c r="G86" s="566">
        <f t="shared" si="1"/>
        <v>0</v>
      </c>
      <c r="H86" s="566">
        <f t="shared" si="2"/>
        <v>1.7902170000000002</v>
      </c>
      <c r="I86" s="566">
        <f t="shared" si="3"/>
        <v>0</v>
      </c>
      <c r="J86" s="566">
        <f t="shared" si="4"/>
        <v>0.677952</v>
      </c>
      <c r="K86" s="566">
        <f t="shared" si="5"/>
        <v>0</v>
      </c>
      <c r="L86" s="566">
        <f t="shared" si="6"/>
        <v>0.55719180000000001</v>
      </c>
      <c r="M86" s="566">
        <f t="shared" si="7"/>
        <v>0</v>
      </c>
      <c r="N86" s="566">
        <f t="shared" si="8"/>
        <v>0.46397339999999998</v>
      </c>
      <c r="O86" s="566">
        <f t="shared" si="9"/>
        <v>0</v>
      </c>
      <c r="P86" s="568"/>
    </row>
    <row r="87" spans="1:16" s="291" customFormat="1" ht="13.5" thickBot="1">
      <c r="A87" s="1172"/>
      <c r="B87" s="695"/>
      <c r="C87" s="231" t="s">
        <v>530</v>
      </c>
      <c r="D87" s="232" t="s">
        <v>3950</v>
      </c>
      <c r="E87" s="704">
        <v>306.02</v>
      </c>
      <c r="F87" s="491">
        <f t="shared" si="0"/>
        <v>183.61199999999999</v>
      </c>
      <c r="G87" s="566">
        <f t="shared" si="1"/>
        <v>0</v>
      </c>
      <c r="H87" s="566">
        <f t="shared" si="2"/>
        <v>15.515214</v>
      </c>
      <c r="I87" s="566">
        <f t="shared" si="3"/>
        <v>0</v>
      </c>
      <c r="J87" s="566">
        <f t="shared" si="4"/>
        <v>5.8755839999999999</v>
      </c>
      <c r="K87" s="566">
        <f t="shared" si="5"/>
        <v>0</v>
      </c>
      <c r="L87" s="566">
        <f t="shared" si="6"/>
        <v>4.8289955999999998</v>
      </c>
      <c r="M87" s="566">
        <f t="shared" si="7"/>
        <v>0</v>
      </c>
      <c r="N87" s="566">
        <f t="shared" si="8"/>
        <v>4.0211027999999995</v>
      </c>
      <c r="O87" s="566">
        <f t="shared" si="9"/>
        <v>0</v>
      </c>
      <c r="P87" s="568"/>
    </row>
    <row r="88" spans="1:16" s="291" customFormat="1" ht="26.25" thickBot="1">
      <c r="A88" s="1172"/>
      <c r="B88" s="695"/>
      <c r="C88" s="231" t="s">
        <v>519</v>
      </c>
      <c r="D88" s="232" t="s">
        <v>3951</v>
      </c>
      <c r="E88" s="704">
        <v>328.49</v>
      </c>
      <c r="F88" s="491">
        <f t="shared" si="0"/>
        <v>197.09399999999999</v>
      </c>
      <c r="G88" s="566">
        <f t="shared" si="1"/>
        <v>0</v>
      </c>
      <c r="H88" s="566">
        <f t="shared" si="2"/>
        <v>16.654443000000001</v>
      </c>
      <c r="I88" s="566">
        <f t="shared" si="3"/>
        <v>0</v>
      </c>
      <c r="J88" s="566">
        <f t="shared" si="4"/>
        <v>6.3070079999999997</v>
      </c>
      <c r="K88" s="566">
        <f t="shared" si="5"/>
        <v>0</v>
      </c>
      <c r="L88" s="566">
        <f t="shared" si="6"/>
        <v>5.1835721999999995</v>
      </c>
      <c r="M88" s="566">
        <f t="shared" si="7"/>
        <v>0</v>
      </c>
      <c r="N88" s="566">
        <f t="shared" si="8"/>
        <v>4.3163586</v>
      </c>
      <c r="O88" s="566">
        <f t="shared" si="9"/>
        <v>0</v>
      </c>
      <c r="P88" s="568"/>
    </row>
    <row r="89" spans="1:16" s="291" customFormat="1" ht="13.5" thickBot="1">
      <c r="A89" s="1172"/>
      <c r="B89" s="695"/>
      <c r="C89" s="231" t="s">
        <v>3880</v>
      </c>
      <c r="D89" s="232" t="s">
        <v>225</v>
      </c>
      <c r="E89" s="704">
        <v>132.68</v>
      </c>
      <c r="F89" s="491">
        <f t="shared" si="0"/>
        <v>79.608000000000004</v>
      </c>
      <c r="G89" s="566">
        <f t="shared" si="1"/>
        <v>0</v>
      </c>
      <c r="H89" s="566">
        <f t="shared" si="2"/>
        <v>6.7268760000000007</v>
      </c>
      <c r="I89" s="566">
        <f t="shared" si="3"/>
        <v>0</v>
      </c>
      <c r="J89" s="566">
        <f t="shared" si="4"/>
        <v>2.5474560000000004</v>
      </c>
      <c r="K89" s="566">
        <f t="shared" si="5"/>
        <v>0</v>
      </c>
      <c r="L89" s="566">
        <f t="shared" si="6"/>
        <v>2.0936904000000003</v>
      </c>
      <c r="M89" s="566">
        <f t="shared" si="7"/>
        <v>0</v>
      </c>
      <c r="N89" s="566">
        <f t="shared" si="8"/>
        <v>1.7434152000000001</v>
      </c>
      <c r="O89" s="566">
        <f t="shared" si="9"/>
        <v>0</v>
      </c>
      <c r="P89" s="568"/>
    </row>
    <row r="90" spans="1:16" s="291" customFormat="1" ht="13.5" thickBot="1">
      <c r="A90" s="1172"/>
      <c r="B90" s="695"/>
      <c r="C90" s="231" t="s">
        <v>532</v>
      </c>
      <c r="D90" s="232" t="s">
        <v>3952</v>
      </c>
      <c r="E90" s="704">
        <v>2942.5</v>
      </c>
      <c r="F90" s="491">
        <f t="shared" si="0"/>
        <v>1765.5</v>
      </c>
      <c r="G90" s="566">
        <f t="shared" si="1"/>
        <v>0</v>
      </c>
      <c r="H90" s="566">
        <f t="shared" si="2"/>
        <v>149.18475000000001</v>
      </c>
      <c r="I90" s="566">
        <f t="shared" si="3"/>
        <v>0</v>
      </c>
      <c r="J90" s="566">
        <f t="shared" si="4"/>
        <v>56.496000000000002</v>
      </c>
      <c r="K90" s="566">
        <f t="shared" si="5"/>
        <v>0</v>
      </c>
      <c r="L90" s="566">
        <f t="shared" si="6"/>
        <v>46.432650000000002</v>
      </c>
      <c r="M90" s="566">
        <f t="shared" si="7"/>
        <v>0</v>
      </c>
      <c r="N90" s="566">
        <f t="shared" si="8"/>
        <v>38.664450000000002</v>
      </c>
      <c r="O90" s="566">
        <f t="shared" si="9"/>
        <v>0</v>
      </c>
      <c r="P90" s="568"/>
    </row>
    <row r="91" spans="1:16" s="315" customFormat="1" ht="13.5" thickBot="1">
      <c r="A91" s="1173"/>
      <c r="B91" s="695"/>
      <c r="C91" s="231" t="s">
        <v>369</v>
      </c>
      <c r="D91" s="232" t="s">
        <v>3913</v>
      </c>
      <c r="E91" s="704">
        <v>5896.77</v>
      </c>
      <c r="F91" s="491">
        <f t="shared" si="0"/>
        <v>3538.0620000000004</v>
      </c>
      <c r="G91" s="566">
        <f t="shared" si="1"/>
        <v>0</v>
      </c>
      <c r="H91" s="566">
        <f t="shared" si="2"/>
        <v>298.96623900000003</v>
      </c>
      <c r="I91" s="566">
        <f t="shared" si="3"/>
        <v>0</v>
      </c>
      <c r="J91" s="566">
        <f t="shared" si="4"/>
        <v>113.21798400000002</v>
      </c>
      <c r="K91" s="566">
        <f t="shared" si="5"/>
        <v>0</v>
      </c>
      <c r="L91" s="566">
        <f t="shared" si="6"/>
        <v>93.051030600000004</v>
      </c>
      <c r="M91" s="566">
        <f t="shared" si="7"/>
        <v>0</v>
      </c>
      <c r="N91" s="566">
        <f t="shared" si="8"/>
        <v>77.4835578</v>
      </c>
      <c r="O91" s="566">
        <f t="shared" si="9"/>
        <v>0</v>
      </c>
      <c r="P91" s="568"/>
    </row>
    <row r="92" spans="1:16" s="315" customFormat="1" ht="15">
      <c r="C92" s="697"/>
      <c r="D92" s="1008" t="s">
        <v>65</v>
      </c>
      <c r="E92" s="1088"/>
      <c r="F92" s="1088"/>
      <c r="G92" s="328" t="e">
        <f t="array" ref="G92">SUM(G49:G91)+G40:G48:G91+G43:G48:G91+G46</f>
        <v>#VALUE!</v>
      </c>
      <c r="H92" s="329" t="s">
        <v>66</v>
      </c>
      <c r="I92" s="328">
        <f t="array" ref="I92">SUM(I49:I91)+I40:I48:I91+I43:I48:I91+I46</f>
        <v>0</v>
      </c>
      <c r="J92" s="329" t="s">
        <v>67</v>
      </c>
      <c r="K92" s="328">
        <f t="array" ref="K92">SUM(K49:K91)+K40:K48:K91+K43:K48:K91+K46</f>
        <v>0</v>
      </c>
      <c r="L92" s="329" t="s">
        <v>68</v>
      </c>
      <c r="M92" s="328">
        <f t="array" ref="M92">SUM(M49:M91)+M40:M48:M91+M43:M48:M91+M46</f>
        <v>0</v>
      </c>
      <c r="N92" s="329" t="s">
        <v>69</v>
      </c>
      <c r="O92" s="328">
        <f t="array" ref="O92">SUM(O49:O91)+O40:O48:O91+O43:O48:O91+O46</f>
        <v>0</v>
      </c>
    </row>
    <row r="93" spans="1:16" s="315" customFormat="1" ht="14.25">
      <c r="C93" s="698"/>
      <c r="F93" s="456"/>
    </row>
    <row r="107" spans="3:3">
      <c r="C107" s="699"/>
    </row>
  </sheetData>
  <mergeCells count="55">
    <mergeCell ref="A28:D28"/>
    <mergeCell ref="E28:J28"/>
    <mergeCell ref="K28:O28"/>
    <mergeCell ref="A4:O4"/>
    <mergeCell ref="A5:O5"/>
    <mergeCell ref="H8:J8"/>
    <mergeCell ref="D24:D25"/>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M43:M44"/>
    <mergeCell ref="I34:K36"/>
    <mergeCell ref="F38:G38"/>
    <mergeCell ref="H38:O38"/>
    <mergeCell ref="A40:A41"/>
    <mergeCell ref="B40:B41"/>
    <mergeCell ref="G40:G41"/>
    <mergeCell ref="I40:I41"/>
    <mergeCell ref="K40:K41"/>
    <mergeCell ref="M40:M41"/>
    <mergeCell ref="O40:O41"/>
    <mergeCell ref="A48:O48"/>
    <mergeCell ref="A49:A91"/>
    <mergeCell ref="D92:F92"/>
    <mergeCell ref="O43:O44"/>
    <mergeCell ref="A46:A47"/>
    <mergeCell ref="B46:B47"/>
    <mergeCell ref="G46:G47"/>
    <mergeCell ref="I46:I47"/>
    <mergeCell ref="K46:K47"/>
    <mergeCell ref="M46:M47"/>
    <mergeCell ref="O46:O47"/>
    <mergeCell ref="A43:A44"/>
    <mergeCell ref="B43:B44"/>
    <mergeCell ref="G43:G44"/>
    <mergeCell ref="I43:I44"/>
    <mergeCell ref="K43:K44"/>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11488-731C-48D6-A103-F642F8251F6B}">
  <sheetPr>
    <tabColor indexed="62"/>
  </sheetPr>
  <dimension ref="A1:M63"/>
  <sheetViews>
    <sheetView zoomScale="65" zoomScaleNormal="65" workbookViewId="0">
      <selection activeCell="A6" sqref="A6"/>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7.7109375" style="256" customWidth="1"/>
    <col min="9" max="9" width="20.85546875" style="256" customWidth="1"/>
    <col min="10" max="10" width="23" style="256" customWidth="1"/>
    <col min="11" max="11" width="20.42578125" style="256" customWidth="1"/>
    <col min="12" max="12" width="11.5703125" style="256" bestFit="1" customWidth="1"/>
    <col min="13"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4091</v>
      </c>
      <c r="B4" s="1020"/>
      <c r="C4" s="1020"/>
      <c r="D4" s="1020"/>
      <c r="E4" s="1020"/>
      <c r="F4" s="1020"/>
      <c r="G4" s="1020"/>
      <c r="H4" s="1020"/>
      <c r="I4" s="1020"/>
      <c r="J4" s="1020"/>
      <c r="K4" s="1020"/>
    </row>
    <row r="5" spans="1:11" s="266" customFormat="1" ht="58.5" customHeight="1">
      <c r="A5" s="1228" t="s">
        <v>4093</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540</v>
      </c>
      <c r="I11" s="803"/>
    </row>
    <row r="12" spans="1:11" s="265" customFormat="1" ht="18">
      <c r="F12" s="804"/>
      <c r="G12" s="284" t="s">
        <v>7</v>
      </c>
      <c r="H12" s="805">
        <v>100000</v>
      </c>
      <c r="I12" s="806"/>
      <c r="K12" s="556"/>
    </row>
    <row r="13" spans="1:11" s="265" customFormat="1" ht="18">
      <c r="F13" s="804"/>
      <c r="G13" s="284" t="s">
        <v>8</v>
      </c>
      <c r="H13" s="802" t="s">
        <v>4086</v>
      </c>
      <c r="I13" s="803"/>
    </row>
    <row r="14" spans="1:11" s="265" customFormat="1" ht="18">
      <c r="A14" s="799"/>
      <c r="B14" s="256"/>
      <c r="C14" s="256"/>
      <c r="D14" s="256"/>
      <c r="E14" s="256"/>
      <c r="F14" s="315"/>
      <c r="G14" s="284" t="s">
        <v>10</v>
      </c>
      <c r="H14" s="802" t="s">
        <v>11</v>
      </c>
      <c r="I14" s="803"/>
    </row>
    <row r="15" spans="1:11" s="265" customFormat="1" ht="18">
      <c r="A15" s="547"/>
      <c r="B15" s="256"/>
      <c r="C15" s="256"/>
      <c r="E15" s="256"/>
      <c r="F15" s="315"/>
      <c r="G15" s="284" t="s">
        <v>185</v>
      </c>
      <c r="H15" s="802" t="s">
        <v>541</v>
      </c>
      <c r="I15" s="803"/>
    </row>
    <row r="16" spans="1:11" s="265" customFormat="1" ht="18">
      <c r="F16" s="804"/>
      <c r="G16" s="284" t="s">
        <v>18</v>
      </c>
      <c r="H16" s="802" t="s">
        <v>19</v>
      </c>
      <c r="I16" s="803"/>
    </row>
    <row r="17" spans="1:13" s="265" customFormat="1" ht="18">
      <c r="F17" s="804"/>
      <c r="G17" s="284" t="s">
        <v>20</v>
      </c>
      <c r="H17" s="802" t="s">
        <v>542</v>
      </c>
      <c r="I17" s="803"/>
    </row>
    <row r="18" spans="1:13" s="265" customFormat="1" ht="18">
      <c r="F18" s="269"/>
      <c r="G18" s="284" t="s">
        <v>22</v>
      </c>
      <c r="H18" s="802" t="s">
        <v>543</v>
      </c>
      <c r="I18" s="803"/>
      <c r="K18" s="282"/>
    </row>
    <row r="19" spans="1:13" s="265" customFormat="1" ht="15.75" customHeight="1">
      <c r="D19" s="277"/>
      <c r="E19" s="277"/>
      <c r="F19" s="269"/>
      <c r="G19" s="284" t="s">
        <v>24</v>
      </c>
      <c r="H19" s="802" t="s">
        <v>74</v>
      </c>
      <c r="I19" s="803"/>
    </row>
    <row r="20" spans="1:13" s="265" customFormat="1" ht="18">
      <c r="D20" s="277"/>
      <c r="E20" s="277"/>
      <c r="F20" s="269"/>
      <c r="G20" s="284" t="s">
        <v>26</v>
      </c>
      <c r="H20" s="802" t="s">
        <v>544</v>
      </c>
      <c r="I20" s="803"/>
    </row>
    <row r="21" spans="1:13" s="265" customFormat="1" ht="18">
      <c r="D21" s="277"/>
      <c r="E21" s="277"/>
      <c r="F21" s="269"/>
      <c r="G21" s="284" t="s">
        <v>28</v>
      </c>
      <c r="H21" s="802" t="s">
        <v>545</v>
      </c>
      <c r="I21" s="803"/>
    </row>
    <row r="22" spans="1:13" ht="13.5" thickBot="1"/>
    <row r="23" spans="1:13" s="808" customFormat="1" ht="18">
      <c r="A23" s="547"/>
      <c r="B23" s="547"/>
      <c r="C23" s="547"/>
      <c r="D23" s="807"/>
      <c r="E23" s="1231" t="s">
        <v>30</v>
      </c>
      <c r="F23" s="1232"/>
      <c r="G23" s="1232"/>
      <c r="H23" s="1233"/>
      <c r="I23" s="807"/>
      <c r="J23" s="807"/>
      <c r="K23" s="807"/>
      <c r="L23" s="807"/>
      <c r="M23" s="807"/>
    </row>
    <row r="24" spans="1:13" s="808" customFormat="1" ht="17.45" customHeight="1">
      <c r="A24" s="547"/>
      <c r="B24" s="547"/>
      <c r="C24" s="547"/>
      <c r="D24" s="257"/>
      <c r="E24" s="1234" t="s">
        <v>546</v>
      </c>
      <c r="F24" s="1235"/>
      <c r="G24" s="1235"/>
      <c r="H24" s="1236"/>
      <c r="I24" s="256"/>
      <c r="J24" s="256"/>
      <c r="K24" s="256"/>
    </row>
    <row r="25" spans="1:13" s="808" customFormat="1" ht="17.45" customHeight="1">
      <c r="A25" s="547"/>
      <c r="B25" s="547"/>
      <c r="C25" s="547"/>
      <c r="D25" s="257"/>
      <c r="E25" s="1219" t="s">
        <v>33</v>
      </c>
      <c r="F25" s="1220"/>
      <c r="G25" s="1220"/>
      <c r="H25" s="810" t="s">
        <v>34</v>
      </c>
      <c r="I25" s="811"/>
      <c r="J25" s="811"/>
      <c r="K25" s="811"/>
    </row>
    <row r="26" spans="1:13" s="808" customFormat="1" ht="18">
      <c r="A26" s="547"/>
      <c r="B26" s="547"/>
      <c r="C26" s="547"/>
      <c r="D26" s="257"/>
      <c r="E26" s="1219" t="s">
        <v>36</v>
      </c>
      <c r="F26" s="1220"/>
      <c r="G26" s="1220"/>
      <c r="H26" s="812">
        <v>65</v>
      </c>
      <c r="I26" s="256"/>
      <c r="J26" s="256"/>
      <c r="K26" s="256"/>
    </row>
    <row r="27" spans="1:13" s="808" customFormat="1" ht="18">
      <c r="A27" s="547"/>
      <c r="B27" s="547"/>
      <c r="C27" s="547"/>
      <c r="D27" s="257"/>
      <c r="E27" s="1219" t="s">
        <v>37</v>
      </c>
      <c r="F27" s="1220"/>
      <c r="G27" s="1220"/>
      <c r="H27" s="810" t="s">
        <v>547</v>
      </c>
      <c r="I27" s="256"/>
      <c r="J27" s="256"/>
      <c r="K27" s="256"/>
    </row>
    <row r="28" spans="1:13" s="808" customFormat="1" ht="18.75" thickBot="1">
      <c r="A28" s="547"/>
      <c r="B28" s="547"/>
      <c r="C28" s="547"/>
      <c r="D28" s="547"/>
      <c r="E28" s="1221" t="s">
        <v>548</v>
      </c>
      <c r="F28" s="1222"/>
      <c r="G28" s="1222"/>
      <c r="H28" s="1223"/>
      <c r="I28" s="547"/>
      <c r="J28" s="547"/>
      <c r="K28" s="547"/>
    </row>
    <row r="29" spans="1:13" s="808" customFormat="1" ht="18">
      <c r="A29" s="547"/>
      <c r="B29" s="547"/>
      <c r="C29" s="547"/>
      <c r="D29" s="547"/>
      <c r="E29" s="256"/>
      <c r="F29" s="256"/>
      <c r="G29" s="256"/>
      <c r="H29" s="256"/>
      <c r="I29" s="547"/>
      <c r="J29" s="547"/>
      <c r="K29" s="547"/>
    </row>
    <row r="30" spans="1:13" s="808" customFormat="1" ht="18">
      <c r="A30" s="547"/>
      <c r="B30" s="547"/>
      <c r="C30" s="547"/>
      <c r="D30" s="547"/>
      <c r="E30" s="256"/>
      <c r="F30" s="256"/>
      <c r="G30" s="256"/>
      <c r="H30" s="256"/>
      <c r="I30" s="547"/>
      <c r="J30" s="547"/>
      <c r="K30" s="547"/>
    </row>
    <row r="31" spans="1:13" s="808" customFormat="1" ht="18.75" thickBot="1">
      <c r="A31" s="265"/>
      <c r="B31" s="265"/>
      <c r="C31" s="277"/>
      <c r="D31" s="283"/>
      <c r="E31" s="284"/>
      <c r="F31" s="256"/>
      <c r="G31" s="1224"/>
      <c r="H31" s="1088"/>
      <c r="I31" s="287"/>
      <c r="J31" s="288"/>
      <c r="K31" s="265"/>
    </row>
    <row r="32" spans="1:13" s="808" customFormat="1" ht="18.75" thickBot="1">
      <c r="A32" s="265"/>
      <c r="B32" s="265"/>
      <c r="C32" s="265"/>
      <c r="D32" s="265"/>
      <c r="E32" s="265"/>
      <c r="F32" s="1063" t="s">
        <v>43</v>
      </c>
      <c r="G32" s="1101"/>
      <c r="H32" s="1003"/>
      <c r="I32" s="1003"/>
      <c r="J32" s="1003"/>
      <c r="K32" s="1025"/>
    </row>
    <row r="33" spans="1:12" s="808" customFormat="1" ht="98.25" thickBot="1">
      <c r="A33" s="813"/>
      <c r="B33" s="813"/>
      <c r="C33" s="813"/>
      <c r="D33" s="813"/>
      <c r="E33" s="814" t="s">
        <v>549</v>
      </c>
      <c r="F33" s="814" t="s">
        <v>46</v>
      </c>
      <c r="G33" s="814" t="s">
        <v>47</v>
      </c>
      <c r="H33" s="814" t="s">
        <v>48</v>
      </c>
      <c r="I33" s="814" t="s">
        <v>49</v>
      </c>
      <c r="J33" s="814" t="s">
        <v>50</v>
      </c>
      <c r="K33" s="814" t="s">
        <v>51</v>
      </c>
    </row>
    <row r="34" spans="1:12" s="808" customFormat="1" ht="21" thickBot="1">
      <c r="A34" s="815"/>
      <c r="B34" s="815"/>
      <c r="C34" s="815"/>
      <c r="D34" s="815"/>
      <c r="E34" s="816">
        <v>24</v>
      </c>
      <c r="F34" s="816"/>
      <c r="G34" s="816" t="s">
        <v>4084</v>
      </c>
      <c r="H34" s="817" t="s">
        <v>4085</v>
      </c>
      <c r="I34" s="818">
        <v>515.4</v>
      </c>
      <c r="J34" s="819">
        <f>I34*(1-25%)</f>
        <v>386.54999999999995</v>
      </c>
      <c r="K34" s="819">
        <f>J34*F34</f>
        <v>0</v>
      </c>
    </row>
    <row r="35" spans="1:12" s="808" customFormat="1" ht="19.5" thickBot="1">
      <c r="A35" s="208"/>
      <c r="B35" s="209"/>
      <c r="C35" s="209"/>
      <c r="D35" s="209"/>
      <c r="E35" s="1225" t="s">
        <v>59</v>
      </c>
      <c r="F35" s="1226"/>
      <c r="G35" s="1226"/>
      <c r="H35" s="1226"/>
      <c r="I35" s="1226"/>
      <c r="J35" s="1226"/>
      <c r="K35" s="1226"/>
    </row>
    <row r="36" spans="1:12" ht="19.5" thickBot="1">
      <c r="A36" s="208"/>
      <c r="B36" s="209"/>
      <c r="C36" s="209"/>
      <c r="D36" s="209"/>
      <c r="E36" s="1215"/>
      <c r="F36" s="824"/>
      <c r="G36" s="929" t="s">
        <v>77</v>
      </c>
      <c r="H36" s="211" t="s">
        <v>3955</v>
      </c>
      <c r="I36" s="826">
        <v>361</v>
      </c>
      <c r="J36" s="18">
        <f>I36*(1-10%)</f>
        <v>324.90000000000003</v>
      </c>
      <c r="K36" s="18">
        <f>J36*F36</f>
        <v>0</v>
      </c>
      <c r="L36" s="823"/>
    </row>
    <row r="37" spans="1:12" ht="19.5" thickBot="1">
      <c r="A37" s="208"/>
      <c r="B37" s="209"/>
      <c r="C37" s="209"/>
      <c r="D37" s="209"/>
      <c r="E37" s="1215"/>
      <c r="F37" s="824"/>
      <c r="G37" s="930" t="s">
        <v>61</v>
      </c>
      <c r="H37" s="19" t="s">
        <v>79</v>
      </c>
      <c r="I37" s="828">
        <v>200.55</v>
      </c>
      <c r="J37" s="18">
        <f>I37*(1-10%)</f>
        <v>180.495</v>
      </c>
      <c r="K37" s="18">
        <f>J37*F37</f>
        <v>0</v>
      </c>
      <c r="L37" s="823"/>
    </row>
    <row r="38" spans="1:12" ht="19.5" thickBot="1">
      <c r="A38" s="208"/>
      <c r="B38" s="209"/>
      <c r="C38" s="209"/>
      <c r="D38" s="209"/>
      <c r="E38" s="1216"/>
      <c r="F38" s="824"/>
      <c r="G38" s="930" t="s">
        <v>63</v>
      </c>
      <c r="H38" s="19" t="s">
        <v>80</v>
      </c>
      <c r="I38" s="828">
        <v>304.5</v>
      </c>
      <c r="J38" s="18">
        <f>I38*(1-10%)</f>
        <v>274.05</v>
      </c>
      <c r="K38" s="18">
        <f>J38*F38</f>
        <v>0</v>
      </c>
      <c r="L38" s="823"/>
    </row>
    <row r="39" spans="1:12" ht="23.25">
      <c r="C39" s="269"/>
      <c r="D39" s="829"/>
      <c r="E39" s="1217" t="s">
        <v>65</v>
      </c>
      <c r="F39" s="1217"/>
      <c r="G39" s="1218"/>
      <c r="H39" s="1218"/>
      <c r="I39" s="1218"/>
      <c r="J39" s="1218"/>
      <c r="K39" s="830">
        <f>SUM(K34:K38)</f>
        <v>0</v>
      </c>
    </row>
    <row r="41" spans="1:12">
      <c r="F41" s="831"/>
      <c r="G41" s="831"/>
      <c r="H41" s="271"/>
      <c r="I41" s="271"/>
      <c r="J41" s="271"/>
      <c r="K41" s="271"/>
    </row>
    <row r="42" spans="1:12">
      <c r="G42" s="831"/>
      <c r="H42" s="271"/>
      <c r="I42" s="271"/>
      <c r="J42" s="271"/>
      <c r="K42" s="271"/>
    </row>
    <row r="44" spans="1:12" ht="15.75">
      <c r="C44" s="269"/>
      <c r="D44" s="283"/>
      <c r="E44" s="832"/>
      <c r="F44" s="833"/>
      <c r="G44" s="831"/>
      <c r="H44" s="271"/>
      <c r="I44" s="271"/>
      <c r="J44" s="271"/>
      <c r="K44" s="271"/>
    </row>
    <row r="45" spans="1:12" ht="15.75">
      <c r="C45" s="269"/>
      <c r="D45" s="283"/>
      <c r="E45" s="832"/>
      <c r="F45" s="833"/>
      <c r="G45" s="831"/>
      <c r="H45" s="271"/>
      <c r="I45" s="271"/>
      <c r="J45" s="271"/>
      <c r="K45" s="271"/>
    </row>
    <row r="46" spans="1:12" ht="15.75">
      <c r="C46" s="269"/>
      <c r="D46" s="283"/>
      <c r="E46" s="832"/>
      <c r="F46" s="833"/>
      <c r="G46" s="831"/>
      <c r="H46" s="271"/>
      <c r="I46" s="271"/>
      <c r="J46" s="271"/>
      <c r="K46" s="271"/>
    </row>
    <row r="47" spans="1:12" ht="15.75">
      <c r="C47" s="269"/>
      <c r="D47" s="283"/>
      <c r="E47" s="832"/>
      <c r="F47" s="833"/>
      <c r="G47" s="831"/>
      <c r="H47" s="271"/>
      <c r="I47" s="271"/>
      <c r="J47" s="271"/>
      <c r="K47" s="271"/>
    </row>
    <row r="48" spans="1:12" ht="15.75">
      <c r="C48" s="269"/>
      <c r="D48" s="283"/>
      <c r="E48" s="832"/>
      <c r="F48" s="833"/>
      <c r="G48" s="831"/>
      <c r="H48" s="271"/>
      <c r="I48" s="271"/>
      <c r="J48" s="271"/>
      <c r="K48" s="271"/>
    </row>
    <row r="49" spans="2:11" ht="15.75">
      <c r="C49" s="269"/>
      <c r="D49" s="283"/>
      <c r="E49" s="832"/>
      <c r="F49" s="833"/>
      <c r="G49" s="831"/>
      <c r="H49" s="271"/>
      <c r="I49" s="271"/>
      <c r="J49" s="271"/>
      <c r="K49" s="271"/>
    </row>
    <row r="50" spans="2:11">
      <c r="G50" s="831"/>
      <c r="I50" s="271"/>
      <c r="K50" s="271"/>
    </row>
    <row r="53" spans="2:11">
      <c r="B53" s="258"/>
      <c r="C53" s="258"/>
    </row>
    <row r="60" spans="2:11">
      <c r="F60" s="256"/>
      <c r="G60" s="256"/>
    </row>
    <row r="61" spans="2:11">
      <c r="F61" s="256"/>
      <c r="G61" s="256"/>
    </row>
    <row r="62" spans="2:11">
      <c r="F62" s="256"/>
      <c r="G62" s="256"/>
    </row>
    <row r="63" spans="2:11">
      <c r="F63" s="256"/>
      <c r="G63" s="256"/>
    </row>
  </sheetData>
  <mergeCells count="14">
    <mergeCell ref="E25:G25"/>
    <mergeCell ref="A4:K4"/>
    <mergeCell ref="A5:K5"/>
    <mergeCell ref="G10:I10"/>
    <mergeCell ref="E23:H23"/>
    <mergeCell ref="E24:H24"/>
    <mergeCell ref="E36:E38"/>
    <mergeCell ref="E39:J39"/>
    <mergeCell ref="E26:G26"/>
    <mergeCell ref="E27:G27"/>
    <mergeCell ref="E28:H28"/>
    <mergeCell ref="G31:H31"/>
    <mergeCell ref="F32:K32"/>
    <mergeCell ref="E35:K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B02E-8C5A-45E2-8E23-0362454E53A3}">
  <sheetPr>
    <tabColor rgb="FF006600"/>
  </sheetPr>
  <dimension ref="A1:M77"/>
  <sheetViews>
    <sheetView topLeftCell="C22" zoomScale="65" zoomScaleNormal="65"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7.7109375" style="256" customWidth="1"/>
    <col min="9" max="9" width="20.85546875" style="256" customWidth="1"/>
    <col min="10" max="10" width="23" style="256" customWidth="1"/>
    <col min="11" max="11" width="20.42578125" style="256" customWidth="1"/>
    <col min="12" max="12" width="13.140625" style="256" bestFit="1" customWidth="1"/>
    <col min="13"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551</v>
      </c>
      <c r="B4" s="1020"/>
      <c r="C4" s="1020"/>
      <c r="D4" s="1020"/>
      <c r="E4" s="1020"/>
      <c r="F4" s="1020"/>
      <c r="G4" s="1020"/>
      <c r="H4" s="1020"/>
      <c r="I4" s="1020"/>
      <c r="J4" s="1020"/>
      <c r="K4" s="1020"/>
    </row>
    <row r="5" spans="1:11" s="266" customFormat="1" ht="58.5" customHeight="1">
      <c r="A5" s="1228" t="s">
        <v>552</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553</v>
      </c>
      <c r="I11" s="803"/>
    </row>
    <row r="12" spans="1:11" s="265" customFormat="1" ht="18">
      <c r="F12" s="519"/>
      <c r="G12" s="284" t="s">
        <v>3</v>
      </c>
      <c r="H12" s="802" t="s">
        <v>554</v>
      </c>
      <c r="I12" s="803"/>
      <c r="K12" s="282"/>
    </row>
    <row r="13" spans="1:11" s="265" customFormat="1" ht="18">
      <c r="F13" s="804"/>
      <c r="G13" s="284" t="s">
        <v>7</v>
      </c>
      <c r="H13" s="805">
        <v>120000</v>
      </c>
      <c r="I13" s="806"/>
      <c r="K13" s="556"/>
    </row>
    <row r="14" spans="1:11" s="265" customFormat="1" ht="18">
      <c r="F14" s="804"/>
      <c r="G14" s="284" t="s">
        <v>8</v>
      </c>
      <c r="H14" s="802" t="s">
        <v>555</v>
      </c>
      <c r="I14" s="803"/>
    </row>
    <row r="15" spans="1:11" s="265" customFormat="1" ht="18">
      <c r="A15" s="799"/>
      <c r="B15" s="256"/>
      <c r="C15" s="256"/>
      <c r="D15" s="256"/>
      <c r="E15" s="256"/>
      <c r="F15" s="315"/>
      <c r="G15" s="284" t="s">
        <v>10</v>
      </c>
      <c r="H15" s="802" t="s">
        <v>11</v>
      </c>
      <c r="I15" s="803"/>
    </row>
    <row r="16" spans="1:11" s="265" customFormat="1" ht="18">
      <c r="A16" s="547"/>
      <c r="B16" s="256"/>
      <c r="C16" s="256"/>
      <c r="E16" s="256"/>
      <c r="F16" s="315"/>
      <c r="G16" s="284" t="s">
        <v>185</v>
      </c>
      <c r="H16" s="802" t="s">
        <v>556</v>
      </c>
      <c r="I16" s="803"/>
    </row>
    <row r="17" spans="1:13" s="265" customFormat="1" ht="18">
      <c r="F17" s="804"/>
      <c r="G17" s="284" t="s">
        <v>18</v>
      </c>
      <c r="H17" s="802" t="s">
        <v>19</v>
      </c>
      <c r="I17" s="803"/>
    </row>
    <row r="18" spans="1:13" s="265" customFormat="1" ht="18">
      <c r="F18" s="804"/>
      <c r="G18" s="284" t="s">
        <v>20</v>
      </c>
      <c r="H18" s="802" t="s">
        <v>557</v>
      </c>
      <c r="I18" s="803"/>
    </row>
    <row r="19" spans="1:13" s="265" customFormat="1" ht="18">
      <c r="F19" s="269"/>
      <c r="G19" s="284" t="s">
        <v>22</v>
      </c>
      <c r="H19" s="802" t="s">
        <v>558</v>
      </c>
      <c r="I19" s="803"/>
      <c r="K19" s="282"/>
    </row>
    <row r="20" spans="1:13" s="265" customFormat="1" ht="15.75" customHeight="1">
      <c r="D20" s="277"/>
      <c r="E20" s="277"/>
      <c r="F20" s="269"/>
      <c r="G20" s="284" t="s">
        <v>24</v>
      </c>
      <c r="H20" s="802" t="s">
        <v>559</v>
      </c>
      <c r="I20" s="803"/>
    </row>
    <row r="21" spans="1:13" s="265" customFormat="1" ht="18">
      <c r="D21" s="277"/>
      <c r="E21" s="277"/>
      <c r="F21" s="269"/>
      <c r="G21" s="284" t="s">
        <v>26</v>
      </c>
      <c r="H21" s="802" t="s">
        <v>560</v>
      </c>
      <c r="I21" s="803"/>
    </row>
    <row r="22" spans="1:13" s="265" customFormat="1" ht="18">
      <c r="D22" s="277"/>
      <c r="E22" s="277"/>
      <c r="F22" s="269"/>
      <c r="G22" s="284" t="s">
        <v>28</v>
      </c>
      <c r="H22" s="802" t="s">
        <v>561</v>
      </c>
      <c r="I22" s="803"/>
    </row>
    <row r="23" spans="1:13" s="265" customFormat="1" ht="12.75" customHeight="1" thickBot="1">
      <c r="D23" s="277"/>
      <c r="E23" s="277"/>
      <c r="F23" s="834"/>
      <c r="G23" s="835"/>
      <c r="H23" s="802"/>
      <c r="I23" s="803"/>
    </row>
    <row r="24" spans="1:13" s="808" customFormat="1" ht="18">
      <c r="A24" s="547"/>
      <c r="B24" s="547"/>
      <c r="C24" s="547"/>
      <c r="D24" s="807"/>
      <c r="E24" s="1231" t="s">
        <v>30</v>
      </c>
      <c r="F24" s="1232"/>
      <c r="G24" s="1232"/>
      <c r="H24" s="1233"/>
      <c r="I24" s="807"/>
      <c r="J24" s="807"/>
      <c r="K24" s="807"/>
      <c r="L24" s="807"/>
      <c r="M24" s="807"/>
    </row>
    <row r="25" spans="1:13" s="808" customFormat="1" ht="17.45" customHeight="1">
      <c r="A25" s="547"/>
      <c r="B25" s="547"/>
      <c r="C25" s="547"/>
      <c r="D25" s="257"/>
      <c r="E25" s="1234" t="s">
        <v>546</v>
      </c>
      <c r="F25" s="1235"/>
      <c r="G25" s="1235"/>
      <c r="H25" s="1236"/>
      <c r="I25" s="256"/>
      <c r="J25" s="256"/>
      <c r="K25" s="256"/>
    </row>
    <row r="26" spans="1:13" s="808" customFormat="1" ht="17.45" customHeight="1">
      <c r="A26" s="547"/>
      <c r="B26" s="547"/>
      <c r="C26" s="547"/>
      <c r="D26" s="257"/>
      <c r="E26" s="1219" t="s">
        <v>33</v>
      </c>
      <c r="F26" s="1220"/>
      <c r="G26" s="1220"/>
      <c r="H26" s="810" t="s">
        <v>34</v>
      </c>
      <c r="I26" s="811"/>
      <c r="J26" s="811"/>
      <c r="K26" s="811"/>
    </row>
    <row r="27" spans="1:13" s="808" customFormat="1" ht="18">
      <c r="A27" s="547"/>
      <c r="B27" s="547"/>
      <c r="C27" s="547"/>
      <c r="D27" s="257"/>
      <c r="E27" s="1219" t="s">
        <v>36</v>
      </c>
      <c r="F27" s="1220"/>
      <c r="G27" s="1220"/>
      <c r="H27" s="812">
        <v>110</v>
      </c>
      <c r="I27" s="256"/>
      <c r="J27" s="256"/>
      <c r="K27" s="256"/>
    </row>
    <row r="28" spans="1:13" s="808" customFormat="1" ht="18">
      <c r="A28" s="547"/>
      <c r="B28" s="547"/>
      <c r="C28" s="547"/>
      <c r="D28" s="257"/>
      <c r="E28" s="1219" t="s">
        <v>37</v>
      </c>
      <c r="F28" s="1220"/>
      <c r="G28" s="1220"/>
      <c r="H28" s="810" t="s">
        <v>547</v>
      </c>
      <c r="I28" s="256"/>
      <c r="J28" s="256"/>
      <c r="K28" s="256"/>
    </row>
    <row r="29" spans="1:13" s="808" customFormat="1" ht="18.75" thickBot="1">
      <c r="A29" s="547"/>
      <c r="B29" s="547"/>
      <c r="C29" s="547"/>
      <c r="D29" s="547"/>
      <c r="E29" s="1221" t="s">
        <v>548</v>
      </c>
      <c r="F29" s="1222"/>
      <c r="G29" s="1222"/>
      <c r="H29" s="1223"/>
      <c r="I29" s="547"/>
      <c r="J29" s="547"/>
      <c r="K29" s="547"/>
    </row>
    <row r="30" spans="1:13" s="808" customFormat="1" ht="18">
      <c r="A30" s="547"/>
      <c r="B30" s="547"/>
      <c r="C30" s="547"/>
      <c r="D30" s="547"/>
      <c r="E30" s="256"/>
      <c r="F30" s="256"/>
      <c r="G30" s="256"/>
      <c r="H30" s="256"/>
      <c r="I30" s="547"/>
      <c r="J30" s="547"/>
      <c r="K30" s="547"/>
    </row>
    <row r="31" spans="1:13" s="808" customFormat="1" ht="18">
      <c r="A31" s="547"/>
      <c r="B31" s="547"/>
      <c r="C31" s="547"/>
      <c r="D31" s="547"/>
      <c r="E31" s="256"/>
      <c r="F31" s="256"/>
      <c r="G31" s="256"/>
      <c r="H31" s="256"/>
      <c r="I31" s="547"/>
      <c r="J31" s="547"/>
      <c r="K31" s="547"/>
    </row>
    <row r="32" spans="1:13" s="808" customFormat="1" ht="18">
      <c r="A32" s="265"/>
      <c r="B32" s="265"/>
      <c r="C32" s="277"/>
      <c r="D32" s="283"/>
      <c r="E32" s="284"/>
      <c r="F32" s="256"/>
      <c r="G32" s="1224"/>
      <c r="H32" s="1088"/>
      <c r="I32" s="287"/>
      <c r="J32" s="288"/>
      <c r="K32" s="265"/>
    </row>
    <row r="33" spans="1:12" s="265" customFormat="1" ht="12.75" customHeight="1">
      <c r="D33" s="277"/>
      <c r="E33" s="277"/>
      <c r="F33" s="329"/>
      <c r="G33" s="256"/>
      <c r="H33" s="256"/>
      <c r="I33" s="256"/>
      <c r="J33" s="256"/>
      <c r="K33" s="836"/>
    </row>
    <row r="34" spans="1:12" s="265" customFormat="1" ht="12.75" customHeight="1">
      <c r="D34" s="277"/>
      <c r="E34" s="277"/>
      <c r="F34" s="329"/>
      <c r="G34" s="256"/>
      <c r="H34" s="256"/>
      <c r="I34" s="256"/>
      <c r="J34" s="256"/>
      <c r="K34" s="558"/>
    </row>
    <row r="35" spans="1:12" s="265" customFormat="1" ht="18" customHeight="1" thickBot="1">
      <c r="C35" s="277"/>
      <c r="D35" s="283"/>
      <c r="E35" s="284"/>
      <c r="F35" s="256"/>
      <c r="G35" s="1224"/>
      <c r="H35" s="1088"/>
      <c r="I35" s="287"/>
      <c r="J35" s="288"/>
    </row>
    <row r="36" spans="1:12" s="265" customFormat="1" ht="15.75" customHeight="1" thickBot="1">
      <c r="F36" s="1063" t="s">
        <v>43</v>
      </c>
      <c r="G36" s="1101"/>
      <c r="H36" s="1003"/>
      <c r="I36" s="1003"/>
      <c r="J36" s="1003"/>
      <c r="K36" s="1025"/>
    </row>
    <row r="37" spans="1:12" s="813" customFormat="1" ht="98.25" thickBot="1">
      <c r="E37" s="814" t="s">
        <v>549</v>
      </c>
      <c r="F37" s="814" t="s">
        <v>46</v>
      </c>
      <c r="G37" s="814" t="s">
        <v>47</v>
      </c>
      <c r="H37" s="814" t="s">
        <v>48</v>
      </c>
      <c r="I37" s="814" t="s">
        <v>49</v>
      </c>
      <c r="J37" s="814" t="s">
        <v>50</v>
      </c>
      <c r="K37" s="814" t="s">
        <v>51</v>
      </c>
    </row>
    <row r="38" spans="1:12" s="815" customFormat="1" ht="66.75" customHeight="1" thickBot="1">
      <c r="E38" s="816">
        <v>24</v>
      </c>
      <c r="F38" s="816"/>
      <c r="G38" s="816" t="s">
        <v>562</v>
      </c>
      <c r="H38" s="817" t="s">
        <v>563</v>
      </c>
      <c r="I38" s="818">
        <v>985.26</v>
      </c>
      <c r="J38" s="819">
        <f>SUM(I38:I38)*(1-40%)</f>
        <v>591.15599999999995</v>
      </c>
      <c r="K38" s="819">
        <f>J38*F38</f>
        <v>0</v>
      </c>
    </row>
    <row r="39" spans="1:12" s="808" customFormat="1" ht="19.5" thickBot="1">
      <c r="A39" s="208"/>
      <c r="B39" s="209"/>
      <c r="C39" s="209"/>
      <c r="D39" s="209"/>
      <c r="E39" s="1225" t="s">
        <v>59</v>
      </c>
      <c r="F39" s="1226"/>
      <c r="G39" s="1226"/>
      <c r="H39" s="1226"/>
      <c r="I39" s="1226"/>
      <c r="J39" s="1226"/>
      <c r="K39" s="1226"/>
    </row>
    <row r="40" spans="1:12" s="808" customFormat="1" ht="19.5" thickBot="1">
      <c r="A40" s="208"/>
      <c r="B40" s="209"/>
      <c r="C40" s="209"/>
      <c r="D40" s="209"/>
      <c r="E40" s="1215"/>
      <c r="F40" s="820"/>
      <c r="G40" s="821" t="s">
        <v>564</v>
      </c>
      <c r="H40" s="484" t="s">
        <v>565</v>
      </c>
      <c r="I40" s="822">
        <v>169.37113402061854</v>
      </c>
      <c r="J40" s="483">
        <f t="shared" ref="J40:J52" si="0">I40*(1-10%)</f>
        <v>152.4340206185567</v>
      </c>
      <c r="K40" s="483">
        <f t="shared" ref="K40:K52" si="1">J40*F40</f>
        <v>0</v>
      </c>
      <c r="L40" s="823"/>
    </row>
    <row r="41" spans="1:12" s="808" customFormat="1" ht="19.5" thickBot="1">
      <c r="A41" s="208"/>
      <c r="B41" s="209"/>
      <c r="C41" s="209"/>
      <c r="D41" s="209"/>
      <c r="E41" s="1215"/>
      <c r="F41" s="837"/>
      <c r="G41" s="825" t="s">
        <v>566</v>
      </c>
      <c r="H41" s="442" t="s">
        <v>567</v>
      </c>
      <c r="I41" s="826">
        <v>260.68041237113403</v>
      </c>
      <c r="J41" s="18">
        <f t="shared" si="0"/>
        <v>234.61237113402063</v>
      </c>
      <c r="K41" s="18">
        <f t="shared" si="1"/>
        <v>0</v>
      </c>
      <c r="L41" s="823"/>
    </row>
    <row r="42" spans="1:12" s="808" customFormat="1" ht="19.5" thickBot="1">
      <c r="A42" s="208"/>
      <c r="B42" s="209"/>
      <c r="C42" s="209"/>
      <c r="D42" s="209"/>
      <c r="E42" s="1215"/>
      <c r="F42" s="824"/>
      <c r="G42" s="825" t="s">
        <v>568</v>
      </c>
      <c r="H42" s="442" t="s">
        <v>569</v>
      </c>
      <c r="I42" s="826">
        <v>326.94845360824741</v>
      </c>
      <c r="J42" s="18">
        <f t="shared" si="0"/>
        <v>294.25360824742268</v>
      </c>
      <c r="K42" s="18">
        <f t="shared" si="1"/>
        <v>0</v>
      </c>
      <c r="L42" s="823"/>
    </row>
    <row r="43" spans="1:12" s="808" customFormat="1" ht="19.5" thickBot="1">
      <c r="A43" s="208"/>
      <c r="B43" s="209"/>
      <c r="C43" s="209"/>
      <c r="D43" s="209"/>
      <c r="E43" s="1215"/>
      <c r="F43" s="824"/>
      <c r="G43" s="825" t="s">
        <v>570</v>
      </c>
      <c r="H43" s="442" t="s">
        <v>571</v>
      </c>
      <c r="I43" s="826">
        <v>78.051546391752566</v>
      </c>
      <c r="J43" s="18">
        <f t="shared" si="0"/>
        <v>70.24639175257731</v>
      </c>
      <c r="K43" s="18">
        <f t="shared" si="1"/>
        <v>0</v>
      </c>
      <c r="L43" s="823"/>
    </row>
    <row r="44" spans="1:12" s="808" customFormat="1" ht="19.5" thickBot="1">
      <c r="A44" s="208"/>
      <c r="B44" s="209"/>
      <c r="C44" s="209"/>
      <c r="D44" s="209"/>
      <c r="E44" s="1215"/>
      <c r="F44" s="824"/>
      <c r="G44" s="827" t="s">
        <v>572</v>
      </c>
      <c r="H44" s="443" t="s">
        <v>573</v>
      </c>
      <c r="I44" s="828">
        <v>64.80412371134021</v>
      </c>
      <c r="J44" s="18">
        <f t="shared" si="0"/>
        <v>58.323711340206188</v>
      </c>
      <c r="K44" s="18">
        <f t="shared" si="1"/>
        <v>0</v>
      </c>
      <c r="L44" s="823"/>
    </row>
    <row r="45" spans="1:12" s="808" customFormat="1" ht="19.5" thickBot="1">
      <c r="A45" s="208"/>
      <c r="B45" s="209"/>
      <c r="C45" s="209"/>
      <c r="D45" s="209"/>
      <c r="E45" s="1215"/>
      <c r="F45" s="837"/>
      <c r="G45" s="825" t="s">
        <v>574</v>
      </c>
      <c r="H45" s="442" t="s">
        <v>575</v>
      </c>
      <c r="I45" s="826">
        <v>447.7216494845361</v>
      </c>
      <c r="J45" s="18">
        <f t="shared" si="0"/>
        <v>402.94948453608248</v>
      </c>
      <c r="K45" s="18">
        <f t="shared" si="1"/>
        <v>0</v>
      </c>
      <c r="L45" s="823"/>
    </row>
    <row r="46" spans="1:12" s="808" customFormat="1" ht="19.5" thickBot="1">
      <c r="A46" s="208"/>
      <c r="B46" s="209"/>
      <c r="C46" s="209"/>
      <c r="D46" s="209"/>
      <c r="E46" s="1215"/>
      <c r="F46" s="824"/>
      <c r="G46" s="825" t="s">
        <v>576</v>
      </c>
      <c r="H46" s="442" t="s">
        <v>577</v>
      </c>
      <c r="I46" s="826">
        <v>665.68041237113403</v>
      </c>
      <c r="J46" s="18">
        <f t="shared" si="0"/>
        <v>599.11237113402069</v>
      </c>
      <c r="K46" s="18">
        <f t="shared" si="1"/>
        <v>0</v>
      </c>
      <c r="L46" s="823"/>
    </row>
    <row r="47" spans="1:12" s="808" customFormat="1" ht="19.5" thickBot="1">
      <c r="A47" s="208"/>
      <c r="B47" s="209"/>
      <c r="C47" s="209"/>
      <c r="D47" s="209"/>
      <c r="E47" s="1215"/>
      <c r="F47" s="824"/>
      <c r="G47" s="825" t="s">
        <v>578</v>
      </c>
      <c r="H47" s="442" t="s">
        <v>579</v>
      </c>
      <c r="I47" s="826">
        <v>234.16494845360825</v>
      </c>
      <c r="J47" s="18">
        <f t="shared" si="0"/>
        <v>210.74845360824742</v>
      </c>
      <c r="K47" s="18">
        <f t="shared" si="1"/>
        <v>0</v>
      </c>
      <c r="L47" s="823"/>
    </row>
    <row r="48" spans="1:12" s="808" customFormat="1" ht="19.5" thickBot="1">
      <c r="A48" s="208"/>
      <c r="B48" s="209"/>
      <c r="C48" s="209"/>
      <c r="D48" s="209"/>
      <c r="E48" s="1215"/>
      <c r="F48" s="837"/>
      <c r="G48" s="825" t="s">
        <v>580</v>
      </c>
      <c r="H48" s="442" t="s">
        <v>581</v>
      </c>
      <c r="I48" s="826">
        <v>297.49484536082474</v>
      </c>
      <c r="J48" s="18">
        <f>I48*(1-10%)</f>
        <v>267.74536082474225</v>
      </c>
      <c r="K48" s="18">
        <f>J48*F48</f>
        <v>0</v>
      </c>
      <c r="L48" s="823"/>
    </row>
    <row r="49" spans="1:12" s="808" customFormat="1" ht="19.5" thickBot="1">
      <c r="A49" s="208"/>
      <c r="B49" s="209"/>
      <c r="C49" s="209"/>
      <c r="D49" s="209"/>
      <c r="E49" s="1215"/>
      <c r="F49" s="824"/>
      <c r="G49" s="825" t="s">
        <v>582</v>
      </c>
      <c r="H49" s="442" t="s">
        <v>583</v>
      </c>
      <c r="I49" s="826">
        <v>297.49484536082474</v>
      </c>
      <c r="J49" s="18">
        <f>I49*(1-10%)</f>
        <v>267.74536082474225</v>
      </c>
      <c r="K49" s="18">
        <f>J49*F49</f>
        <v>0</v>
      </c>
      <c r="L49" s="823"/>
    </row>
    <row r="50" spans="1:12" s="808" customFormat="1" ht="19.5" thickBot="1">
      <c r="A50" s="208"/>
      <c r="B50" s="209"/>
      <c r="C50" s="209"/>
      <c r="D50" s="209"/>
      <c r="E50" s="1215"/>
      <c r="F50" s="824"/>
      <c r="G50" s="825" t="s">
        <v>584</v>
      </c>
      <c r="H50" s="442" t="s">
        <v>585</v>
      </c>
      <c r="I50" s="826">
        <v>297.49484536082474</v>
      </c>
      <c r="J50" s="18">
        <f>I50*(1-10%)</f>
        <v>267.74536082474225</v>
      </c>
      <c r="K50" s="18">
        <f>J50*F50</f>
        <v>0</v>
      </c>
      <c r="L50" s="823"/>
    </row>
    <row r="51" spans="1:12" s="808" customFormat="1" ht="19.5" thickBot="1">
      <c r="A51" s="208"/>
      <c r="B51" s="209"/>
      <c r="C51" s="209"/>
      <c r="D51" s="209"/>
      <c r="E51" s="1215"/>
      <c r="F51" s="824"/>
      <c r="G51" s="827" t="s">
        <v>586</v>
      </c>
      <c r="H51" s="443" t="s">
        <v>587</v>
      </c>
      <c r="I51" s="828">
        <v>297.49484536082474</v>
      </c>
      <c r="J51" s="18">
        <f t="shared" si="0"/>
        <v>267.74536082474225</v>
      </c>
      <c r="K51" s="18">
        <f t="shared" si="1"/>
        <v>0</v>
      </c>
      <c r="L51" s="823"/>
    </row>
    <row r="52" spans="1:12" s="808" customFormat="1" ht="19.5" thickBot="1">
      <c r="A52" s="208"/>
      <c r="B52" s="209"/>
      <c r="C52" s="209"/>
      <c r="D52" s="209"/>
      <c r="E52" s="1216"/>
      <c r="F52" s="824"/>
      <c r="G52" s="827" t="s">
        <v>588</v>
      </c>
      <c r="H52" s="443" t="s">
        <v>589</v>
      </c>
      <c r="I52" s="828">
        <v>41.237113402061858</v>
      </c>
      <c r="J52" s="18">
        <f t="shared" si="0"/>
        <v>37.113402061855673</v>
      </c>
      <c r="K52" s="18">
        <f t="shared" si="1"/>
        <v>0</v>
      </c>
      <c r="L52" s="823"/>
    </row>
    <row r="53" spans="1:12" ht="23.25">
      <c r="C53" s="269"/>
      <c r="D53" s="829"/>
      <c r="E53" s="1217" t="s">
        <v>65</v>
      </c>
      <c r="F53" s="1217"/>
      <c r="G53" s="1218"/>
      <c r="H53" s="1218"/>
      <c r="I53" s="1218"/>
      <c r="J53" s="1218"/>
      <c r="K53" s="830">
        <f>SUM(K38:K52)</f>
        <v>0</v>
      </c>
    </row>
    <row r="55" spans="1:12">
      <c r="F55" s="831"/>
      <c r="G55" s="831"/>
      <c r="H55" s="271"/>
      <c r="I55" s="271"/>
      <c r="J55" s="271"/>
      <c r="K55" s="271"/>
    </row>
    <row r="56" spans="1:12">
      <c r="G56" s="831"/>
      <c r="H56" s="271"/>
      <c r="I56" s="271"/>
      <c r="J56" s="271"/>
      <c r="K56" s="271"/>
    </row>
    <row r="58" spans="1:12" ht="15.75">
      <c r="C58" s="269"/>
      <c r="D58" s="283"/>
      <c r="E58" s="832"/>
      <c r="F58" s="833"/>
      <c r="G58" s="831"/>
      <c r="H58" s="271"/>
      <c r="I58" s="271"/>
      <c r="J58" s="271"/>
      <c r="K58" s="271"/>
    </row>
    <row r="59" spans="1:12" ht="15.75">
      <c r="C59" s="269"/>
      <c r="D59" s="283"/>
      <c r="E59" s="832"/>
      <c r="F59" s="833"/>
      <c r="G59" s="831"/>
      <c r="H59" s="271"/>
      <c r="I59" s="271"/>
      <c r="J59" s="271"/>
      <c r="K59" s="271"/>
    </row>
    <row r="60" spans="1:12" ht="15.75">
      <c r="C60" s="269"/>
      <c r="D60" s="283"/>
      <c r="E60" s="832"/>
      <c r="F60" s="833"/>
      <c r="G60" s="831"/>
      <c r="H60" s="271"/>
      <c r="I60" s="271"/>
      <c r="J60" s="271"/>
      <c r="K60" s="271"/>
    </row>
    <row r="61" spans="1:12" ht="15.75">
      <c r="C61" s="269"/>
      <c r="D61" s="283"/>
      <c r="E61" s="832"/>
      <c r="F61" s="833"/>
      <c r="G61" s="831"/>
      <c r="H61" s="271"/>
      <c r="I61" s="271"/>
      <c r="J61" s="271"/>
      <c r="K61" s="271"/>
    </row>
    <row r="62" spans="1:12" ht="15.75">
      <c r="C62" s="269"/>
      <c r="D62" s="283"/>
      <c r="E62" s="832"/>
      <c r="F62" s="833"/>
      <c r="G62" s="831"/>
      <c r="H62" s="271"/>
      <c r="I62" s="271"/>
      <c r="J62" s="271"/>
      <c r="K62" s="271"/>
    </row>
    <row r="63" spans="1:12" ht="15.75">
      <c r="C63" s="269"/>
      <c r="D63" s="283"/>
      <c r="E63" s="832"/>
      <c r="F63" s="833"/>
      <c r="G63" s="831"/>
      <c r="H63" s="271"/>
      <c r="I63" s="271"/>
      <c r="J63" s="271"/>
      <c r="K63" s="271"/>
    </row>
    <row r="64" spans="1:12">
      <c r="G64" s="831"/>
      <c r="I64" s="271"/>
      <c r="K64" s="271"/>
    </row>
    <row r="67" spans="2:7">
      <c r="B67" s="258"/>
      <c r="C67" s="258"/>
    </row>
    <row r="74" spans="2:7">
      <c r="F74" s="256"/>
      <c r="G74" s="256"/>
    </row>
    <row r="75" spans="2:7">
      <c r="F75" s="256"/>
      <c r="G75" s="256"/>
    </row>
    <row r="76" spans="2:7">
      <c r="F76" s="256"/>
      <c r="G76" s="256"/>
    </row>
    <row r="77" spans="2:7">
      <c r="F77" s="256"/>
      <c r="G77" s="256"/>
    </row>
  </sheetData>
  <mergeCells count="15">
    <mergeCell ref="E26:G26"/>
    <mergeCell ref="A4:K4"/>
    <mergeCell ref="A5:K5"/>
    <mergeCell ref="G10:I10"/>
    <mergeCell ref="E24:H24"/>
    <mergeCell ref="E25:H25"/>
    <mergeCell ref="E39:K39"/>
    <mergeCell ref="E40:E52"/>
    <mergeCell ref="E53:J53"/>
    <mergeCell ref="E27:G27"/>
    <mergeCell ref="E28:G28"/>
    <mergeCell ref="E29:H29"/>
    <mergeCell ref="G32:H32"/>
    <mergeCell ref="G35:H35"/>
    <mergeCell ref="F36:K3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9E2E-33A2-4974-BDBB-A473E3172203}">
  <sheetPr>
    <tabColor rgb="FFFF0000"/>
  </sheetPr>
  <dimension ref="A1:M58"/>
  <sheetViews>
    <sheetView topLeftCell="C1" zoomScale="65" zoomScaleNormal="65"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7.7109375" style="256" customWidth="1"/>
    <col min="9" max="9" width="20.85546875" style="256" customWidth="1"/>
    <col min="10" max="10" width="23" style="256" customWidth="1"/>
    <col min="11" max="11" width="20.42578125" style="256" customWidth="1"/>
    <col min="12"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590</v>
      </c>
      <c r="B4" s="1020"/>
      <c r="C4" s="1020"/>
      <c r="D4" s="1020"/>
      <c r="E4" s="1020"/>
      <c r="F4" s="1020"/>
      <c r="G4" s="1020"/>
      <c r="H4" s="1020"/>
      <c r="I4" s="1020"/>
      <c r="J4" s="1020"/>
      <c r="K4" s="1020"/>
    </row>
    <row r="5" spans="1:11" s="266" customFormat="1" ht="58.5" customHeight="1">
      <c r="A5" s="1228" t="s">
        <v>591</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592</v>
      </c>
      <c r="I11" s="803"/>
    </row>
    <row r="12" spans="1:11" s="265" customFormat="1" ht="18">
      <c r="F12" s="804"/>
      <c r="G12" s="284" t="s">
        <v>7</v>
      </c>
      <c r="H12" s="805">
        <v>10000</v>
      </c>
      <c r="I12" s="806"/>
    </row>
    <row r="13" spans="1:11" s="265" customFormat="1" ht="18">
      <c r="A13" s="799"/>
      <c r="B13" s="256"/>
      <c r="C13" s="256"/>
      <c r="D13" s="256"/>
      <c r="E13" s="256"/>
      <c r="F13" s="315"/>
      <c r="G13" s="284" t="s">
        <v>8</v>
      </c>
      <c r="H13" s="802" t="s">
        <v>593</v>
      </c>
      <c r="I13" s="803"/>
    </row>
    <row r="14" spans="1:11" s="265" customFormat="1" ht="18">
      <c r="A14" s="547"/>
      <c r="B14" s="256"/>
      <c r="C14" s="256"/>
      <c r="E14" s="256"/>
      <c r="F14" s="315"/>
      <c r="G14" s="284" t="s">
        <v>10</v>
      </c>
      <c r="H14" s="802" t="s">
        <v>594</v>
      </c>
      <c r="I14" s="803"/>
    </row>
    <row r="15" spans="1:11" s="265" customFormat="1" ht="18">
      <c r="F15" s="804"/>
      <c r="G15" s="284" t="s">
        <v>185</v>
      </c>
      <c r="H15" s="802" t="s">
        <v>595</v>
      </c>
      <c r="I15" s="803"/>
    </row>
    <row r="16" spans="1:11" s="265" customFormat="1" ht="18">
      <c r="F16" s="804"/>
      <c r="G16" s="284" t="s">
        <v>18</v>
      </c>
      <c r="H16" s="802" t="s">
        <v>596</v>
      </c>
      <c r="I16" s="803"/>
    </row>
    <row r="17" spans="1:13" s="265" customFormat="1" ht="18">
      <c r="F17" s="269"/>
      <c r="G17" s="284" t="s">
        <v>22</v>
      </c>
      <c r="H17" s="802" t="s">
        <v>597</v>
      </c>
      <c r="I17" s="803"/>
      <c r="K17" s="282"/>
    </row>
    <row r="18" spans="1:13" s="265" customFormat="1" ht="15.75" customHeight="1">
      <c r="D18" s="277"/>
      <c r="E18" s="277"/>
      <c r="F18" s="269"/>
      <c r="G18" s="284" t="s">
        <v>24</v>
      </c>
      <c r="H18" s="802" t="s">
        <v>598</v>
      </c>
      <c r="I18" s="803"/>
    </row>
    <row r="19" spans="1:13" s="265" customFormat="1" ht="18">
      <c r="D19" s="277"/>
      <c r="E19" s="277"/>
      <c r="F19" s="269"/>
      <c r="G19" s="284" t="s">
        <v>26</v>
      </c>
      <c r="H19" s="802" t="s">
        <v>599</v>
      </c>
      <c r="I19" s="803"/>
    </row>
    <row r="20" spans="1:13" s="265" customFormat="1" ht="18">
      <c r="D20" s="277"/>
      <c r="E20" s="277"/>
      <c r="F20" s="269"/>
      <c r="G20" s="284" t="s">
        <v>28</v>
      </c>
      <c r="H20" s="801" t="s">
        <v>600</v>
      </c>
    </row>
    <row r="21" spans="1:13" s="265" customFormat="1" ht="12.75" customHeight="1" thickBot="1">
      <c r="D21" s="277"/>
      <c r="E21" s="277"/>
      <c r="F21" s="329"/>
      <c r="G21" s="256"/>
      <c r="H21" s="256"/>
      <c r="I21" s="256"/>
      <c r="J21" s="256"/>
      <c r="K21" s="558"/>
    </row>
    <row r="22" spans="1:13" s="808" customFormat="1" ht="18">
      <c r="A22" s="547"/>
      <c r="B22" s="547"/>
      <c r="C22" s="547"/>
      <c r="D22" s="807"/>
      <c r="E22" s="1231" t="s">
        <v>30</v>
      </c>
      <c r="F22" s="1232"/>
      <c r="G22" s="1232"/>
      <c r="H22" s="1233"/>
      <c r="I22" s="807"/>
      <c r="J22" s="807"/>
      <c r="K22" s="807"/>
      <c r="L22" s="807"/>
      <c r="M22" s="807"/>
    </row>
    <row r="23" spans="1:13" s="808" customFormat="1" ht="17.45" customHeight="1">
      <c r="A23" s="547"/>
      <c r="B23" s="547"/>
      <c r="C23" s="547"/>
      <c r="D23" s="257"/>
      <c r="E23" s="1234" t="s">
        <v>546</v>
      </c>
      <c r="F23" s="1235"/>
      <c r="G23" s="1235"/>
      <c r="H23" s="1236"/>
      <c r="I23" s="256"/>
      <c r="J23" s="256"/>
      <c r="K23" s="256"/>
    </row>
    <row r="24" spans="1:13" s="808" customFormat="1" ht="17.45" customHeight="1">
      <c r="A24" s="547"/>
      <c r="B24" s="547"/>
      <c r="C24" s="547"/>
      <c r="D24" s="257"/>
      <c r="E24" s="1219" t="s">
        <v>33</v>
      </c>
      <c r="F24" s="1220"/>
      <c r="G24" s="1220"/>
      <c r="H24" s="810" t="s">
        <v>34</v>
      </c>
      <c r="I24" s="811"/>
      <c r="J24" s="811"/>
      <c r="K24" s="811"/>
    </row>
    <row r="25" spans="1:13" s="808" customFormat="1" ht="18">
      <c r="A25" s="547"/>
      <c r="B25" s="547"/>
      <c r="C25" s="547"/>
      <c r="D25" s="257"/>
      <c r="E25" s="1219" t="s">
        <v>36</v>
      </c>
      <c r="F25" s="1220"/>
      <c r="G25" s="1220"/>
      <c r="H25" s="812">
        <v>50</v>
      </c>
      <c r="I25" s="256"/>
      <c r="J25" s="256"/>
      <c r="K25" s="256"/>
    </row>
    <row r="26" spans="1:13" s="808" customFormat="1" ht="18">
      <c r="A26" s="547"/>
      <c r="B26" s="547"/>
      <c r="C26" s="547"/>
      <c r="D26" s="257"/>
      <c r="E26" s="1219" t="s">
        <v>37</v>
      </c>
      <c r="F26" s="1220"/>
      <c r="G26" s="1220"/>
      <c r="H26" s="810" t="s">
        <v>547</v>
      </c>
      <c r="I26" s="256"/>
      <c r="J26" s="256"/>
      <c r="K26" s="256"/>
    </row>
    <row r="27" spans="1:13" s="808" customFormat="1" ht="18.75" thickBot="1">
      <c r="A27" s="547"/>
      <c r="B27" s="547"/>
      <c r="C27" s="547"/>
      <c r="D27" s="547"/>
      <c r="E27" s="1221" t="s">
        <v>548</v>
      </c>
      <c r="F27" s="1222"/>
      <c r="G27" s="1222"/>
      <c r="H27" s="1223"/>
      <c r="I27" s="547"/>
      <c r="J27" s="547"/>
      <c r="K27" s="547"/>
    </row>
    <row r="28" spans="1:13" s="808" customFormat="1" ht="18">
      <c r="A28" s="547"/>
      <c r="B28" s="547"/>
      <c r="C28" s="547"/>
      <c r="D28" s="547"/>
      <c r="E28" s="256"/>
      <c r="F28" s="256"/>
      <c r="G28" s="256"/>
      <c r="H28" s="256"/>
      <c r="I28" s="547"/>
      <c r="J28" s="547"/>
      <c r="K28" s="547"/>
    </row>
    <row r="29" spans="1:13" s="808" customFormat="1" ht="18">
      <c r="A29" s="547"/>
      <c r="B29" s="547"/>
      <c r="C29" s="547"/>
      <c r="D29" s="547"/>
      <c r="E29" s="256"/>
      <c r="F29" s="256"/>
      <c r="G29" s="256"/>
      <c r="H29" s="256"/>
      <c r="I29" s="547"/>
      <c r="J29" s="547"/>
      <c r="K29" s="547"/>
    </row>
    <row r="30" spans="1:13" s="265" customFormat="1" ht="18" customHeight="1" thickBot="1">
      <c r="C30" s="277"/>
      <c r="D30" s="283"/>
      <c r="E30" s="284"/>
      <c r="F30" s="256"/>
      <c r="G30" s="1224"/>
      <c r="H30" s="1088"/>
      <c r="I30" s="287"/>
      <c r="J30" s="288"/>
    </row>
    <row r="31" spans="1:13" s="265" customFormat="1" ht="15.75" customHeight="1" thickBot="1">
      <c r="F31" s="1237" t="s">
        <v>43</v>
      </c>
      <c r="G31" s="1238"/>
      <c r="H31" s="1239"/>
      <c r="I31" s="1239"/>
      <c r="J31" s="1239"/>
      <c r="K31" s="1240"/>
    </row>
    <row r="32" spans="1:13" s="813" customFormat="1" ht="98.25" thickBot="1">
      <c r="E32" s="814" t="s">
        <v>549</v>
      </c>
      <c r="F32" s="814" t="s">
        <v>46</v>
      </c>
      <c r="G32" s="814" t="s">
        <v>47</v>
      </c>
      <c r="H32" s="814" t="s">
        <v>48</v>
      </c>
      <c r="I32" s="814" t="s">
        <v>49</v>
      </c>
      <c r="J32" s="814" t="s">
        <v>50</v>
      </c>
      <c r="K32" s="814" t="s">
        <v>51</v>
      </c>
    </row>
    <row r="33" spans="2:11" s="815" customFormat="1" ht="66.75" customHeight="1" thickBot="1">
      <c r="E33" s="816">
        <v>24</v>
      </c>
      <c r="F33" s="816"/>
      <c r="G33" s="816" t="s">
        <v>601</v>
      </c>
      <c r="H33" s="817" t="s">
        <v>602</v>
      </c>
      <c r="I33" s="818">
        <v>156.77000000000001</v>
      </c>
      <c r="J33" s="819">
        <f>SUM(I33:I33)*(1-10%)</f>
        <v>141.09300000000002</v>
      </c>
      <c r="K33" s="819">
        <f>J33*F33</f>
        <v>0</v>
      </c>
    </row>
    <row r="34" spans="2:11" ht="23.25">
      <c r="C34" s="269"/>
      <c r="D34" s="829"/>
      <c r="E34" s="1217" t="s">
        <v>65</v>
      </c>
      <c r="F34" s="1217"/>
      <c r="G34" s="1218"/>
      <c r="H34" s="1218"/>
      <c r="I34" s="1218"/>
      <c r="J34" s="1218"/>
      <c r="K34" s="830">
        <f>SUM(K33:K33)</f>
        <v>0</v>
      </c>
    </row>
    <row r="36" spans="2:11">
      <c r="F36" s="831"/>
      <c r="G36" s="831"/>
      <c r="H36" s="271"/>
      <c r="I36" s="271"/>
      <c r="J36" s="271"/>
      <c r="K36" s="271"/>
    </row>
    <row r="37" spans="2:11">
      <c r="G37" s="831"/>
      <c r="H37" s="271"/>
      <c r="I37" s="271"/>
      <c r="J37" s="271"/>
      <c r="K37" s="271"/>
    </row>
    <row r="39" spans="2:11" ht="15.75">
      <c r="C39" s="269"/>
      <c r="D39" s="283"/>
      <c r="E39" s="832"/>
      <c r="F39" s="833"/>
      <c r="G39" s="831"/>
      <c r="H39" s="271"/>
      <c r="I39" s="271"/>
      <c r="J39" s="271"/>
      <c r="K39" s="271"/>
    </row>
    <row r="40" spans="2:11" ht="15.75">
      <c r="C40" s="269"/>
      <c r="D40" s="283"/>
      <c r="E40" s="832"/>
      <c r="F40" s="833"/>
      <c r="G40" s="831"/>
      <c r="H40" s="271"/>
      <c r="I40" s="271"/>
      <c r="J40" s="271"/>
      <c r="K40" s="271"/>
    </row>
    <row r="41" spans="2:11" ht="15.75">
      <c r="C41" s="269"/>
      <c r="D41" s="283"/>
      <c r="E41" s="832"/>
      <c r="F41" s="833"/>
      <c r="G41" s="831"/>
      <c r="H41" s="271"/>
      <c r="I41" s="271"/>
      <c r="J41" s="271"/>
      <c r="K41" s="271"/>
    </row>
    <row r="42" spans="2:11" ht="15.75">
      <c r="C42" s="269"/>
      <c r="D42" s="283"/>
      <c r="E42" s="832"/>
      <c r="F42" s="833"/>
      <c r="G42" s="831"/>
      <c r="H42" s="271"/>
      <c r="I42" s="271"/>
      <c r="J42" s="271"/>
      <c r="K42" s="271"/>
    </row>
    <row r="43" spans="2:11" ht="15.75">
      <c r="C43" s="269"/>
      <c r="D43" s="283"/>
      <c r="E43" s="832"/>
      <c r="F43" s="833"/>
      <c r="G43" s="831"/>
      <c r="H43" s="271"/>
      <c r="I43" s="271"/>
      <c r="J43" s="271"/>
      <c r="K43" s="271"/>
    </row>
    <row r="44" spans="2:11" ht="15.75">
      <c r="C44" s="269"/>
      <c r="D44" s="283"/>
      <c r="E44" s="832"/>
      <c r="F44" s="833"/>
      <c r="G44" s="831"/>
      <c r="H44" s="271"/>
      <c r="I44" s="271"/>
      <c r="J44" s="271"/>
      <c r="K44" s="271"/>
    </row>
    <row r="45" spans="2:11">
      <c r="G45" s="831"/>
      <c r="I45" s="271"/>
      <c r="K45" s="271"/>
    </row>
    <row r="48" spans="2:11">
      <c r="B48" s="258"/>
      <c r="C48" s="258"/>
    </row>
    <row r="55" s="256" customFormat="1"/>
    <row r="56" s="256" customFormat="1"/>
    <row r="57" s="256" customFormat="1"/>
    <row r="58" s="256" customFormat="1"/>
  </sheetData>
  <mergeCells count="12">
    <mergeCell ref="E34:J34"/>
    <mergeCell ref="A4:K4"/>
    <mergeCell ref="A5:K5"/>
    <mergeCell ref="G10:I10"/>
    <mergeCell ref="E22:H22"/>
    <mergeCell ref="E23:H23"/>
    <mergeCell ref="E24:G24"/>
    <mergeCell ref="E25:G25"/>
    <mergeCell ref="E26:G26"/>
    <mergeCell ref="E27:H27"/>
    <mergeCell ref="G30:H30"/>
    <mergeCell ref="F31:K31"/>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D1DC-6323-4823-87E4-1A2777D51040}">
  <sheetPr>
    <tabColor indexed="62"/>
  </sheetPr>
  <dimension ref="A1:K48"/>
  <sheetViews>
    <sheetView zoomScale="65" zoomScaleNormal="65" workbookViewId="0">
      <selection activeCell="C9" sqref="C9"/>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1.7109375" style="256" customWidth="1"/>
    <col min="9" max="9" width="20.85546875" style="256" customWidth="1"/>
    <col min="10" max="10" width="23" style="256" customWidth="1"/>
    <col min="11" max="11" width="21" style="256" customWidth="1"/>
    <col min="12"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4091</v>
      </c>
      <c r="B4" s="1020"/>
      <c r="C4" s="1020"/>
      <c r="D4" s="1020"/>
      <c r="E4" s="1020"/>
      <c r="F4" s="1020"/>
      <c r="G4" s="1020"/>
      <c r="H4" s="1020"/>
      <c r="I4" s="1020"/>
      <c r="J4" s="1020"/>
      <c r="K4" s="1020"/>
    </row>
    <row r="5" spans="1:11" s="266" customFormat="1" ht="58.5" customHeight="1">
      <c r="A5" s="1228" t="s">
        <v>4093</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540</v>
      </c>
      <c r="I11" s="803"/>
    </row>
    <row r="12" spans="1:11" s="265" customFormat="1" ht="18">
      <c r="F12" s="519"/>
      <c r="G12" s="284" t="s">
        <v>7</v>
      </c>
      <c r="H12" s="805">
        <v>100000</v>
      </c>
      <c r="I12" s="806"/>
      <c r="K12" s="282"/>
    </row>
    <row r="13" spans="1:11" s="265" customFormat="1" ht="18">
      <c r="F13" s="804"/>
      <c r="G13" s="284" t="s">
        <v>8</v>
      </c>
      <c r="H13" s="802" t="s">
        <v>4086</v>
      </c>
      <c r="I13" s="803"/>
      <c r="K13" s="556"/>
    </row>
    <row r="14" spans="1:11" s="265" customFormat="1" ht="18">
      <c r="F14" s="804"/>
      <c r="G14" s="284" t="s">
        <v>10</v>
      </c>
      <c r="H14" s="802" t="s">
        <v>11</v>
      </c>
      <c r="I14" s="803"/>
    </row>
    <row r="15" spans="1:11" s="265" customFormat="1" ht="18">
      <c r="A15" s="799"/>
      <c r="B15" s="256"/>
      <c r="C15" s="256"/>
      <c r="D15" s="256"/>
      <c r="E15" s="256"/>
      <c r="F15" s="315"/>
      <c r="G15" s="284" t="s">
        <v>185</v>
      </c>
      <c r="H15" s="802" t="s">
        <v>541</v>
      </c>
      <c r="I15" s="803"/>
    </row>
    <row r="16" spans="1:11" s="265" customFormat="1" ht="18">
      <c r="A16" s="547"/>
      <c r="B16" s="256"/>
      <c r="C16" s="256"/>
      <c r="E16" s="256"/>
      <c r="F16" s="315"/>
      <c r="G16" s="284" t="s">
        <v>18</v>
      </c>
      <c r="H16" s="802" t="s">
        <v>19</v>
      </c>
      <c r="I16" s="803"/>
    </row>
    <row r="17" spans="1:11" s="265" customFormat="1" ht="18">
      <c r="A17" s="547"/>
      <c r="B17" s="256"/>
      <c r="C17" s="256"/>
      <c r="E17" s="256"/>
      <c r="F17" s="315"/>
      <c r="G17" s="284" t="s">
        <v>20</v>
      </c>
      <c r="H17" s="802" t="s">
        <v>542</v>
      </c>
      <c r="I17" s="803"/>
    </row>
    <row r="18" spans="1:11" s="265" customFormat="1" ht="18">
      <c r="F18" s="804"/>
      <c r="G18" s="284" t="s">
        <v>22</v>
      </c>
      <c r="H18" s="802" t="s">
        <v>543</v>
      </c>
      <c r="I18" s="803"/>
    </row>
    <row r="19" spans="1:11" s="265" customFormat="1" ht="18">
      <c r="F19" s="804"/>
      <c r="G19" s="284" t="s">
        <v>24</v>
      </c>
      <c r="H19" s="802" t="s">
        <v>74</v>
      </c>
      <c r="I19" s="803"/>
    </row>
    <row r="20" spans="1:11" s="265" customFormat="1" ht="18">
      <c r="F20" s="269"/>
      <c r="G20" s="284" t="s">
        <v>26</v>
      </c>
      <c r="H20" s="802" t="s">
        <v>544</v>
      </c>
      <c r="I20" s="803"/>
      <c r="K20" s="282"/>
    </row>
    <row r="21" spans="1:11" s="265" customFormat="1" ht="15.75" customHeight="1">
      <c r="D21" s="277"/>
      <c r="E21" s="277"/>
      <c r="F21" s="269"/>
      <c r="G21" s="284" t="s">
        <v>28</v>
      </c>
      <c r="H21" s="802" t="s">
        <v>545</v>
      </c>
      <c r="I21" s="803"/>
    </row>
    <row r="22" spans="1:11" s="265" customFormat="1" ht="12.6" customHeight="1" thickBot="1">
      <c r="D22" s="277"/>
      <c r="E22" s="277"/>
      <c r="F22" s="834"/>
      <c r="G22" s="835"/>
      <c r="H22" s="802"/>
      <c r="I22" s="803"/>
    </row>
    <row r="23" spans="1:11" s="808" customFormat="1" ht="18">
      <c r="A23" s="547"/>
      <c r="B23" s="547"/>
      <c r="C23" s="547"/>
      <c r="D23" s="807"/>
      <c r="E23" s="1231" t="s">
        <v>30</v>
      </c>
      <c r="F23" s="1232"/>
      <c r="G23" s="1232"/>
      <c r="H23" s="1233"/>
      <c r="I23" s="807"/>
      <c r="J23" s="807"/>
      <c r="K23" s="807"/>
    </row>
    <row r="24" spans="1:11" s="808" customFormat="1" ht="17.45" customHeight="1">
      <c r="A24" s="547"/>
      <c r="B24" s="547"/>
      <c r="C24" s="547"/>
      <c r="D24" s="257"/>
      <c r="E24" s="1234" t="s">
        <v>603</v>
      </c>
      <c r="F24" s="1235"/>
      <c r="G24" s="1235"/>
      <c r="H24" s="1236"/>
      <c r="I24" s="256"/>
      <c r="J24" s="256"/>
      <c r="K24" s="256"/>
    </row>
    <row r="25" spans="1:11" s="808" customFormat="1" ht="17.45" customHeight="1">
      <c r="A25" s="547"/>
      <c r="B25" s="547"/>
      <c r="C25" s="547"/>
      <c r="D25" s="257"/>
      <c r="E25" s="1219" t="s">
        <v>33</v>
      </c>
      <c r="F25" s="1220"/>
      <c r="G25" s="1220"/>
      <c r="H25" s="810" t="s">
        <v>34</v>
      </c>
      <c r="I25" s="811"/>
      <c r="J25" s="811"/>
      <c r="K25" s="811"/>
    </row>
    <row r="26" spans="1:11" s="808" customFormat="1" ht="18">
      <c r="A26" s="547"/>
      <c r="B26" s="547"/>
      <c r="C26" s="547"/>
      <c r="D26" s="257"/>
      <c r="E26" s="1219" t="s">
        <v>36</v>
      </c>
      <c r="F26" s="1220"/>
      <c r="G26" s="1220"/>
      <c r="H26" s="812">
        <v>65</v>
      </c>
      <c r="I26" s="256"/>
      <c r="J26" s="256"/>
      <c r="K26" s="256"/>
    </row>
    <row r="27" spans="1:11" s="808" customFormat="1" ht="18">
      <c r="A27" s="547"/>
      <c r="B27" s="547"/>
      <c r="C27" s="547"/>
      <c r="D27" s="257"/>
      <c r="E27" s="1219" t="s">
        <v>37</v>
      </c>
      <c r="F27" s="1220"/>
      <c r="G27" s="1220"/>
      <c r="H27" s="810" t="s">
        <v>547</v>
      </c>
      <c r="I27" s="256"/>
      <c r="J27" s="256"/>
      <c r="K27" s="256"/>
    </row>
    <row r="28" spans="1:11" s="808" customFormat="1" ht="18.75" thickBot="1">
      <c r="A28" s="547"/>
      <c r="B28" s="547"/>
      <c r="C28" s="547"/>
      <c r="D28" s="547"/>
      <c r="E28" s="1221" t="s">
        <v>548</v>
      </c>
      <c r="F28" s="1222"/>
      <c r="G28" s="1222"/>
      <c r="H28" s="1223"/>
      <c r="I28" s="547"/>
      <c r="J28" s="547"/>
      <c r="K28" s="547"/>
    </row>
    <row r="29" spans="1:11" s="808" customFormat="1" ht="18">
      <c r="A29" s="547"/>
      <c r="B29" s="547"/>
      <c r="C29" s="547"/>
      <c r="D29" s="547"/>
      <c r="E29" s="256"/>
      <c r="F29" s="256"/>
      <c r="G29" s="256"/>
      <c r="H29" s="256"/>
      <c r="I29" s="547"/>
      <c r="J29" s="547"/>
      <c r="K29" s="547"/>
    </row>
    <row r="30" spans="1:11" s="808" customFormat="1" ht="18">
      <c r="A30" s="547"/>
      <c r="B30" s="547"/>
      <c r="C30" s="547"/>
      <c r="D30" s="547"/>
      <c r="E30" s="256"/>
      <c r="F30" s="256"/>
      <c r="G30" s="256"/>
      <c r="H30" s="256"/>
      <c r="I30" s="547"/>
      <c r="J30" s="547"/>
      <c r="K30" s="547"/>
    </row>
    <row r="31" spans="1:11" s="265" customFormat="1" ht="12.75" customHeight="1">
      <c r="D31" s="277"/>
      <c r="E31" s="277"/>
      <c r="F31" s="329"/>
      <c r="G31" s="256"/>
      <c r="H31" s="256"/>
      <c r="I31" s="256"/>
      <c r="J31" s="256"/>
      <c r="K31" s="558"/>
    </row>
    <row r="32" spans="1:11" s="265" customFormat="1" ht="18" customHeight="1" thickBot="1">
      <c r="C32" s="277"/>
      <c r="D32" s="283"/>
      <c r="E32" s="284"/>
      <c r="F32" s="256"/>
      <c r="G32" s="1224"/>
      <c r="H32" s="1088"/>
      <c r="I32" s="287"/>
      <c r="J32" s="288"/>
    </row>
    <row r="33" spans="2:11" s="265" customFormat="1" ht="15.75" customHeight="1" thickBot="1">
      <c r="F33" s="1063" t="s">
        <v>43</v>
      </c>
      <c r="G33" s="1101"/>
      <c r="H33" s="1003"/>
      <c r="I33" s="1003"/>
      <c r="J33" s="1003"/>
      <c r="K33" s="1025"/>
    </row>
    <row r="34" spans="2:11" s="813" customFormat="1" ht="98.25" thickBot="1">
      <c r="E34" s="814" t="s">
        <v>549</v>
      </c>
      <c r="F34" s="814" t="s">
        <v>46</v>
      </c>
      <c r="G34" s="814" t="s">
        <v>47</v>
      </c>
      <c r="H34" s="814" t="s">
        <v>48</v>
      </c>
      <c r="I34" s="814" t="s">
        <v>49</v>
      </c>
      <c r="J34" s="814" t="s">
        <v>50</v>
      </c>
      <c r="K34" s="814" t="s">
        <v>51</v>
      </c>
    </row>
    <row r="35" spans="2:11" s="815" customFormat="1" ht="64.5" customHeight="1" thickBot="1">
      <c r="E35" s="816">
        <v>25</v>
      </c>
      <c r="F35" s="816"/>
      <c r="G35" s="816" t="s">
        <v>4084</v>
      </c>
      <c r="H35" s="817" t="s">
        <v>4085</v>
      </c>
      <c r="I35" s="838">
        <v>515.4</v>
      </c>
      <c r="J35" s="819">
        <f>I35*(1-25%)</f>
        <v>386.54999999999995</v>
      </c>
      <c r="K35" s="819">
        <f>J35*F35</f>
        <v>0</v>
      </c>
    </row>
    <row r="36" spans="2:11" s="839" customFormat="1" ht="24" thickBot="1">
      <c r="E36" s="1225" t="s">
        <v>59</v>
      </c>
      <c r="F36" s="1226"/>
      <c r="G36" s="1226"/>
      <c r="H36" s="1226"/>
      <c r="I36" s="1226"/>
      <c r="J36" s="1226"/>
      <c r="K36" s="1226"/>
    </row>
    <row r="37" spans="2:11" ht="36.75" thickBot="1">
      <c r="E37" s="1215"/>
      <c r="F37" s="837"/>
      <c r="G37" s="825" t="s">
        <v>77</v>
      </c>
      <c r="H37" s="442" t="s">
        <v>3955</v>
      </c>
      <c r="I37" s="826">
        <v>361</v>
      </c>
      <c r="J37" s="18">
        <f>I37*(1-10%)</f>
        <v>324.90000000000003</v>
      </c>
      <c r="K37" s="18">
        <f>J37*F37</f>
        <v>0</v>
      </c>
    </row>
    <row r="38" spans="2:11" ht="36.75" thickBot="1">
      <c r="E38" s="1215"/>
      <c r="F38" s="824"/>
      <c r="G38" s="827" t="s">
        <v>61</v>
      </c>
      <c r="H38" s="443" t="s">
        <v>79</v>
      </c>
      <c r="I38" s="828">
        <v>200.55</v>
      </c>
      <c r="J38" s="18">
        <f>I38*(1-10%)</f>
        <v>180.495</v>
      </c>
      <c r="K38" s="18">
        <f>J38*F38</f>
        <v>0</v>
      </c>
    </row>
    <row r="39" spans="2:11" ht="36.75" thickBot="1">
      <c r="E39" s="1216"/>
      <c r="F39" s="837"/>
      <c r="G39" s="827" t="s">
        <v>63</v>
      </c>
      <c r="H39" s="443" t="s">
        <v>80</v>
      </c>
      <c r="I39" s="828">
        <v>304.5</v>
      </c>
      <c r="J39" s="18">
        <f>I39*(1-10%)</f>
        <v>274.05</v>
      </c>
      <c r="K39" s="18">
        <f>J39*F39</f>
        <v>0</v>
      </c>
    </row>
    <row r="40" spans="2:11" ht="23.25">
      <c r="C40" s="269"/>
      <c r="D40" s="283"/>
      <c r="E40" s="1217" t="s">
        <v>65</v>
      </c>
      <c r="F40" s="1217"/>
      <c r="G40" s="1217"/>
      <c r="H40" s="1217"/>
      <c r="I40" s="1217"/>
      <c r="J40" s="1217"/>
      <c r="K40" s="830">
        <f>SUM(K35:K39)</f>
        <v>0</v>
      </c>
    </row>
    <row r="41" spans="2:11" ht="15.75">
      <c r="C41" s="269"/>
      <c r="D41" s="283"/>
      <c r="E41" s="832"/>
      <c r="F41" s="833"/>
      <c r="G41" s="831"/>
      <c r="H41" s="271"/>
      <c r="I41" s="271"/>
      <c r="J41" s="271"/>
      <c r="K41" s="271"/>
    </row>
    <row r="42" spans="2:11" ht="15.75">
      <c r="C42" s="269"/>
      <c r="D42" s="283"/>
      <c r="E42" s="832"/>
      <c r="F42" s="833"/>
      <c r="G42" s="831"/>
      <c r="H42" s="271"/>
      <c r="I42" s="271"/>
      <c r="J42" s="271"/>
      <c r="K42" s="271"/>
    </row>
    <row r="43" spans="2:11" ht="15.75">
      <c r="C43" s="269"/>
      <c r="D43" s="283"/>
      <c r="E43" s="832"/>
      <c r="F43" s="833"/>
      <c r="G43" s="831"/>
      <c r="H43" s="271"/>
      <c r="I43" s="271"/>
      <c r="J43" s="271"/>
      <c r="K43" s="271"/>
    </row>
    <row r="44" spans="2:11" ht="15.75">
      <c r="C44" s="269"/>
      <c r="D44" s="283"/>
      <c r="E44" s="832"/>
      <c r="F44" s="833"/>
      <c r="G44" s="831"/>
      <c r="H44" s="271"/>
      <c r="I44" s="271"/>
      <c r="J44" s="271"/>
      <c r="K44" s="271"/>
    </row>
    <row r="45" spans="2:11" ht="15.75">
      <c r="C45" s="269"/>
      <c r="D45" s="283"/>
      <c r="E45" s="832"/>
      <c r="F45" s="833"/>
      <c r="G45" s="831"/>
      <c r="H45" s="271"/>
      <c r="I45" s="271"/>
      <c r="J45" s="271"/>
      <c r="K45" s="271"/>
    </row>
    <row r="46" spans="2:11">
      <c r="F46" s="831"/>
      <c r="G46" s="831"/>
      <c r="H46" s="271"/>
      <c r="I46" s="271"/>
      <c r="J46" s="271"/>
      <c r="K46" s="271"/>
    </row>
    <row r="47" spans="2:11">
      <c r="G47" s="831"/>
      <c r="I47" s="271"/>
      <c r="K47" s="271"/>
    </row>
    <row r="48" spans="2:11">
      <c r="B48" s="258"/>
      <c r="C48" s="258"/>
    </row>
  </sheetData>
  <mergeCells count="14">
    <mergeCell ref="E25:G25"/>
    <mergeCell ref="A4:K4"/>
    <mergeCell ref="A5:K5"/>
    <mergeCell ref="G10:I10"/>
    <mergeCell ref="E23:H23"/>
    <mergeCell ref="E24:H24"/>
    <mergeCell ref="E37:E39"/>
    <mergeCell ref="E40:J40"/>
    <mergeCell ref="E26:G26"/>
    <mergeCell ref="E27:G27"/>
    <mergeCell ref="E28:H28"/>
    <mergeCell ref="G32:H32"/>
    <mergeCell ref="F33:K33"/>
    <mergeCell ref="E36:K3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4781B-AE46-4C82-82C2-1A5880704515}">
  <sheetPr>
    <tabColor rgb="FF006600"/>
  </sheetPr>
  <dimension ref="A1:L65"/>
  <sheetViews>
    <sheetView topLeftCell="D19" zoomScale="65" zoomScaleNormal="65"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1.7109375" style="256" customWidth="1"/>
    <col min="9" max="9" width="20.85546875" style="256" customWidth="1"/>
    <col min="10" max="10" width="23" style="256" customWidth="1"/>
    <col min="11" max="11" width="20.42578125" style="256" customWidth="1"/>
    <col min="12" max="12" width="15.42578125" style="256" customWidth="1"/>
    <col min="13"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604</v>
      </c>
      <c r="B4" s="1020"/>
      <c r="C4" s="1020"/>
      <c r="D4" s="1020"/>
      <c r="E4" s="1020"/>
      <c r="F4" s="1020"/>
      <c r="G4" s="1020"/>
      <c r="H4" s="1020"/>
      <c r="I4" s="1020"/>
      <c r="J4" s="1020"/>
      <c r="K4" s="1020"/>
    </row>
    <row r="5" spans="1:11" s="266" customFormat="1" ht="58.5" customHeight="1">
      <c r="A5" s="1228" t="s">
        <v>605</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553</v>
      </c>
      <c r="I11" s="803"/>
    </row>
    <row r="12" spans="1:11" s="265" customFormat="1" ht="18">
      <c r="F12" s="519"/>
      <c r="G12" s="284" t="s">
        <v>3</v>
      </c>
      <c r="H12" s="802" t="s">
        <v>554</v>
      </c>
      <c r="I12" s="803"/>
      <c r="K12" s="282"/>
    </row>
    <row r="13" spans="1:11" s="265" customFormat="1" ht="18">
      <c r="F13" s="804"/>
      <c r="G13" s="284" t="s">
        <v>7</v>
      </c>
      <c r="H13" s="805">
        <v>175000</v>
      </c>
      <c r="I13" s="806"/>
      <c r="K13" s="556"/>
    </row>
    <row r="14" spans="1:11" s="265" customFormat="1" ht="18">
      <c r="F14" s="804"/>
      <c r="G14" s="284" t="s">
        <v>8</v>
      </c>
      <c r="H14" s="802" t="s">
        <v>606</v>
      </c>
      <c r="I14" s="803"/>
    </row>
    <row r="15" spans="1:11" s="265" customFormat="1" ht="18">
      <c r="A15" s="799"/>
      <c r="B15" s="256"/>
      <c r="C15" s="256"/>
      <c r="D15" s="256"/>
      <c r="E15" s="256"/>
      <c r="F15" s="315"/>
      <c r="G15" s="284" t="s">
        <v>10</v>
      </c>
      <c r="H15" s="802" t="s">
        <v>11</v>
      </c>
      <c r="I15" s="803"/>
    </row>
    <row r="16" spans="1:11" s="265" customFormat="1" ht="18">
      <c r="A16" s="547"/>
      <c r="B16" s="256"/>
      <c r="C16" s="256"/>
      <c r="E16" s="256"/>
      <c r="F16" s="315"/>
      <c r="G16" s="284" t="s">
        <v>185</v>
      </c>
      <c r="H16" s="802" t="s">
        <v>556</v>
      </c>
      <c r="I16" s="803"/>
    </row>
    <row r="17" spans="1:11" s="265" customFormat="1" ht="18">
      <c r="A17" s="547"/>
      <c r="B17" s="256"/>
      <c r="C17" s="256"/>
      <c r="E17" s="256"/>
      <c r="F17" s="315"/>
      <c r="G17" s="284" t="s">
        <v>18</v>
      </c>
      <c r="H17" s="802" t="s">
        <v>19</v>
      </c>
      <c r="I17" s="803"/>
    </row>
    <row r="18" spans="1:11" s="265" customFormat="1" ht="18">
      <c r="F18" s="804"/>
      <c r="G18" s="284" t="s">
        <v>20</v>
      </c>
      <c r="H18" s="802" t="s">
        <v>607</v>
      </c>
      <c r="I18" s="803"/>
    </row>
    <row r="19" spans="1:11" s="265" customFormat="1" ht="18">
      <c r="F19" s="804"/>
      <c r="G19" s="284" t="s">
        <v>22</v>
      </c>
      <c r="H19" s="802" t="s">
        <v>608</v>
      </c>
      <c r="I19" s="803"/>
    </row>
    <row r="20" spans="1:11" s="265" customFormat="1" ht="18">
      <c r="F20" s="269"/>
      <c r="G20" s="284" t="s">
        <v>24</v>
      </c>
      <c r="H20" s="802" t="s">
        <v>559</v>
      </c>
      <c r="I20" s="803"/>
      <c r="K20" s="282"/>
    </row>
    <row r="21" spans="1:11" s="265" customFormat="1" ht="15.75" customHeight="1">
      <c r="D21" s="277"/>
      <c r="E21" s="277"/>
      <c r="F21" s="269"/>
      <c r="G21" s="284" t="s">
        <v>26</v>
      </c>
      <c r="H21" s="802" t="s">
        <v>609</v>
      </c>
      <c r="I21" s="803"/>
    </row>
    <row r="22" spans="1:11" s="265" customFormat="1" ht="18">
      <c r="D22" s="277"/>
      <c r="E22" s="277"/>
      <c r="F22" s="269"/>
      <c r="G22" s="284" t="s">
        <v>28</v>
      </c>
      <c r="H22" s="802" t="s">
        <v>610</v>
      </c>
      <c r="I22" s="803"/>
    </row>
    <row r="23" spans="1:11" s="265" customFormat="1" ht="18">
      <c r="D23" s="277"/>
      <c r="E23" s="277"/>
      <c r="F23" s="269"/>
      <c r="G23" s="284"/>
      <c r="H23" s="802"/>
      <c r="I23" s="803"/>
    </row>
    <row r="24" spans="1:11" s="265" customFormat="1" ht="12.75" customHeight="1" thickBot="1">
      <c r="D24" s="277"/>
      <c r="E24" s="277"/>
      <c r="F24" s="834"/>
      <c r="G24" s="835"/>
      <c r="H24" s="802"/>
      <c r="I24" s="803"/>
    </row>
    <row r="25" spans="1:11" s="808" customFormat="1" ht="18">
      <c r="A25" s="547"/>
      <c r="B25" s="547"/>
      <c r="C25" s="547"/>
      <c r="D25" s="807"/>
      <c r="E25" s="1231" t="s">
        <v>30</v>
      </c>
      <c r="F25" s="1232"/>
      <c r="G25" s="1232"/>
      <c r="H25" s="1233"/>
      <c r="I25" s="807"/>
      <c r="J25" s="807"/>
      <c r="K25" s="807"/>
    </row>
    <row r="26" spans="1:11" s="808" customFormat="1" ht="17.45" customHeight="1">
      <c r="A26" s="547"/>
      <c r="B26" s="547"/>
      <c r="C26" s="547"/>
      <c r="D26" s="257"/>
      <c r="E26" s="1234" t="s">
        <v>603</v>
      </c>
      <c r="F26" s="1235"/>
      <c r="G26" s="1235"/>
      <c r="H26" s="1236"/>
      <c r="I26" s="256"/>
      <c r="J26" s="256"/>
      <c r="K26" s="256"/>
    </row>
    <row r="27" spans="1:11" s="808" customFormat="1" ht="17.45" customHeight="1">
      <c r="A27" s="547"/>
      <c r="B27" s="547"/>
      <c r="C27" s="547"/>
      <c r="D27" s="257"/>
      <c r="E27" s="1219" t="s">
        <v>33</v>
      </c>
      <c r="F27" s="1220"/>
      <c r="G27" s="1220"/>
      <c r="H27" s="810" t="s">
        <v>34</v>
      </c>
      <c r="I27" s="811"/>
      <c r="J27" s="811"/>
      <c r="K27" s="811"/>
    </row>
    <row r="28" spans="1:11" s="808" customFormat="1" ht="18">
      <c r="A28" s="547"/>
      <c r="B28" s="547"/>
      <c r="C28" s="547"/>
      <c r="D28" s="257"/>
      <c r="E28" s="1219" t="s">
        <v>36</v>
      </c>
      <c r="F28" s="1220"/>
      <c r="G28" s="1220"/>
      <c r="H28" s="812">
        <v>150</v>
      </c>
      <c r="I28" s="256"/>
      <c r="J28" s="256"/>
      <c r="K28" s="256"/>
    </row>
    <row r="29" spans="1:11" s="808" customFormat="1" ht="18">
      <c r="A29" s="547"/>
      <c r="B29" s="547"/>
      <c r="C29" s="547"/>
      <c r="D29" s="257"/>
      <c r="E29" s="1219" t="s">
        <v>37</v>
      </c>
      <c r="F29" s="1220"/>
      <c r="G29" s="1220"/>
      <c r="H29" s="810" t="s">
        <v>547</v>
      </c>
      <c r="I29" s="256"/>
      <c r="J29" s="256"/>
      <c r="K29" s="256"/>
    </row>
    <row r="30" spans="1:11" s="808" customFormat="1" ht="18.75" thickBot="1">
      <c r="A30" s="547"/>
      <c r="B30" s="547"/>
      <c r="C30" s="547"/>
      <c r="D30" s="547"/>
      <c r="E30" s="1221" t="s">
        <v>548</v>
      </c>
      <c r="F30" s="1222"/>
      <c r="G30" s="1222"/>
      <c r="H30" s="1223"/>
      <c r="I30" s="547"/>
      <c r="J30" s="547"/>
      <c r="K30" s="547"/>
    </row>
    <row r="31" spans="1:11" s="808" customFormat="1" ht="18">
      <c r="A31" s="547"/>
      <c r="B31" s="547"/>
      <c r="C31" s="547"/>
      <c r="D31" s="547"/>
      <c r="E31" s="256"/>
      <c r="F31" s="256"/>
      <c r="G31" s="256"/>
      <c r="H31" s="256"/>
      <c r="I31" s="547"/>
      <c r="J31" s="547"/>
      <c r="K31" s="547"/>
    </row>
    <row r="32" spans="1:11" s="808" customFormat="1" ht="18">
      <c r="A32" s="547"/>
      <c r="B32" s="547"/>
      <c r="C32" s="547"/>
      <c r="D32" s="547"/>
      <c r="E32" s="256"/>
      <c r="F32" s="256"/>
      <c r="G32" s="256"/>
      <c r="H32" s="256"/>
      <c r="I32" s="547"/>
      <c r="J32" s="547"/>
      <c r="K32" s="547"/>
    </row>
    <row r="33" spans="3:12" s="265" customFormat="1" ht="12.75" customHeight="1">
      <c r="D33" s="277"/>
      <c r="E33" s="277"/>
      <c r="F33" s="329"/>
      <c r="G33" s="256"/>
      <c r="H33" s="256"/>
      <c r="I33" s="256"/>
      <c r="J33" s="256"/>
      <c r="K33" s="558"/>
    </row>
    <row r="34" spans="3:12" s="265" customFormat="1" ht="12.75" customHeight="1">
      <c r="D34" s="277"/>
      <c r="E34" s="277"/>
      <c r="F34" s="329"/>
      <c r="G34" s="256"/>
      <c r="H34" s="256"/>
      <c r="I34" s="256"/>
      <c r="J34" s="256"/>
      <c r="K34" s="558"/>
    </row>
    <row r="35" spans="3:12" s="265" customFormat="1" ht="18" customHeight="1" thickBot="1">
      <c r="C35" s="277"/>
      <c r="D35" s="283"/>
      <c r="E35" s="284"/>
      <c r="F35" s="256"/>
      <c r="G35" s="1224"/>
      <c r="H35" s="1088"/>
      <c r="I35" s="287"/>
      <c r="J35" s="288"/>
    </row>
    <row r="36" spans="3:12" s="265" customFormat="1" ht="15.75" customHeight="1" thickBot="1">
      <c r="F36" s="1063" t="s">
        <v>43</v>
      </c>
      <c r="G36" s="1101"/>
      <c r="H36" s="1003"/>
      <c r="I36" s="1003"/>
      <c r="J36" s="1003"/>
      <c r="K36" s="1025"/>
    </row>
    <row r="37" spans="3:12" s="813" customFormat="1" ht="98.25" thickBot="1">
      <c r="E37" s="814" t="s">
        <v>549</v>
      </c>
      <c r="F37" s="814" t="s">
        <v>46</v>
      </c>
      <c r="G37" s="814" t="s">
        <v>47</v>
      </c>
      <c r="H37" s="814" t="s">
        <v>48</v>
      </c>
      <c r="I37" s="814" t="s">
        <v>49</v>
      </c>
      <c r="J37" s="814" t="s">
        <v>50</v>
      </c>
      <c r="K37" s="814" t="s">
        <v>51</v>
      </c>
    </row>
    <row r="38" spans="3:12" s="815" customFormat="1" ht="64.5" customHeight="1" thickBot="1">
      <c r="E38" s="816">
        <v>25</v>
      </c>
      <c r="F38" s="816"/>
      <c r="G38" s="816" t="s">
        <v>611</v>
      </c>
      <c r="H38" s="817" t="s">
        <v>612</v>
      </c>
      <c r="I38" s="818">
        <v>1557.18</v>
      </c>
      <c r="J38" s="819">
        <f>SUM(I38:I38)*(1-50%)</f>
        <v>778.59</v>
      </c>
      <c r="K38" s="819">
        <f>J38*F38</f>
        <v>0</v>
      </c>
    </row>
    <row r="39" spans="3:12" s="839" customFormat="1" ht="24" thickBot="1">
      <c r="E39" s="1241" t="s">
        <v>59</v>
      </c>
      <c r="F39" s="1242"/>
      <c r="G39" s="1242"/>
      <c r="H39" s="1242"/>
      <c r="I39" s="1242"/>
      <c r="J39" s="1242"/>
      <c r="K39" s="1242"/>
    </row>
    <row r="40" spans="3:12" ht="18.75" thickBot="1">
      <c r="E40" s="1215"/>
      <c r="F40" s="820"/>
      <c r="G40" s="821" t="s">
        <v>564</v>
      </c>
      <c r="H40" s="482" t="s">
        <v>565</v>
      </c>
      <c r="I40" s="822">
        <v>169.37113402061854</v>
      </c>
      <c r="J40" s="483">
        <f t="shared" ref="J40:J55" si="0">I40*(1-10%)</f>
        <v>152.4340206185567</v>
      </c>
      <c r="K40" s="483">
        <f>J40*F40</f>
        <v>0</v>
      </c>
      <c r="L40" s="596"/>
    </row>
    <row r="41" spans="3:12" ht="18.75" thickBot="1">
      <c r="E41" s="1215"/>
      <c r="F41" s="837"/>
      <c r="G41" s="825" t="s">
        <v>566</v>
      </c>
      <c r="H41" s="211" t="s">
        <v>567</v>
      </c>
      <c r="I41" s="826">
        <v>260.68041237113403</v>
      </c>
      <c r="J41" s="18">
        <f t="shared" si="0"/>
        <v>234.61237113402063</v>
      </c>
      <c r="K41" s="18">
        <f t="shared" ref="K41:K46" si="1">J41*F41</f>
        <v>0</v>
      </c>
      <c r="L41" s="596"/>
    </row>
    <row r="42" spans="3:12" ht="18.75" thickBot="1">
      <c r="E42" s="1215"/>
      <c r="F42" s="837"/>
      <c r="G42" s="825" t="s">
        <v>568</v>
      </c>
      <c r="H42" s="211" t="s">
        <v>569</v>
      </c>
      <c r="I42" s="826">
        <v>326.94845360824741</v>
      </c>
      <c r="J42" s="18">
        <f t="shared" si="0"/>
        <v>294.25360824742268</v>
      </c>
      <c r="K42" s="18">
        <f t="shared" si="1"/>
        <v>0</v>
      </c>
      <c r="L42" s="596"/>
    </row>
    <row r="43" spans="3:12" ht="18.75" thickBot="1">
      <c r="E43" s="1215"/>
      <c r="F43" s="824"/>
      <c r="G43" s="827" t="s">
        <v>613</v>
      </c>
      <c r="H43" s="19" t="s">
        <v>614</v>
      </c>
      <c r="I43" s="828">
        <v>627.39175257731961</v>
      </c>
      <c r="J43" s="18">
        <f t="shared" si="0"/>
        <v>564.65257731958764</v>
      </c>
      <c r="K43" s="18">
        <f t="shared" si="1"/>
        <v>0</v>
      </c>
      <c r="L43" s="596"/>
    </row>
    <row r="44" spans="3:12" ht="18.75" thickBot="1">
      <c r="E44" s="1215"/>
      <c r="F44" s="837"/>
      <c r="G44" s="827" t="s">
        <v>570</v>
      </c>
      <c r="H44" s="19" t="s">
        <v>571</v>
      </c>
      <c r="I44" s="828">
        <v>78.051546391752566</v>
      </c>
      <c r="J44" s="18">
        <f t="shared" si="0"/>
        <v>70.24639175257731</v>
      </c>
      <c r="K44" s="18">
        <f t="shared" si="1"/>
        <v>0</v>
      </c>
      <c r="L44" s="596"/>
    </row>
    <row r="45" spans="3:12" ht="18.75" thickBot="1">
      <c r="E45" s="1215"/>
      <c r="F45" s="837"/>
      <c r="G45" s="825" t="s">
        <v>574</v>
      </c>
      <c r="H45" s="211" t="s">
        <v>575</v>
      </c>
      <c r="I45" s="826">
        <v>447.7216494845361</v>
      </c>
      <c r="J45" s="18">
        <f t="shared" si="0"/>
        <v>402.94948453608248</v>
      </c>
      <c r="K45" s="18">
        <f t="shared" si="1"/>
        <v>0</v>
      </c>
      <c r="L45" s="596"/>
    </row>
    <row r="46" spans="3:12" ht="18.75" thickBot="1">
      <c r="E46" s="1215"/>
      <c r="F46" s="824"/>
      <c r="G46" s="827" t="s">
        <v>576</v>
      </c>
      <c r="H46" s="19" t="s">
        <v>577</v>
      </c>
      <c r="I46" s="828">
        <v>665.68041237113403</v>
      </c>
      <c r="J46" s="18">
        <f t="shared" si="0"/>
        <v>599.11237113402069</v>
      </c>
      <c r="K46" s="18">
        <f t="shared" si="1"/>
        <v>0</v>
      </c>
      <c r="L46" s="596"/>
    </row>
    <row r="47" spans="3:12" ht="18.75" thickBot="1">
      <c r="E47" s="1215"/>
      <c r="F47" s="837"/>
      <c r="G47" s="825" t="s">
        <v>578</v>
      </c>
      <c r="H47" s="211" t="s">
        <v>579</v>
      </c>
      <c r="I47" s="826">
        <v>234.16494845360825</v>
      </c>
      <c r="J47" s="18">
        <f t="shared" si="0"/>
        <v>210.74845360824742</v>
      </c>
      <c r="K47" s="18">
        <f>J47*F47</f>
        <v>0</v>
      </c>
      <c r="L47" s="596"/>
    </row>
    <row r="48" spans="3:12" ht="18.75" thickBot="1">
      <c r="E48" s="1215"/>
      <c r="F48" s="837"/>
      <c r="G48" s="825" t="s">
        <v>580</v>
      </c>
      <c r="H48" s="211" t="s">
        <v>581</v>
      </c>
      <c r="I48" s="826">
        <v>297.49484536082474</v>
      </c>
      <c r="J48" s="18">
        <f t="shared" si="0"/>
        <v>267.74536082474225</v>
      </c>
      <c r="K48" s="18">
        <f t="shared" ref="K48:K55" si="2">J48*F48</f>
        <v>0</v>
      </c>
      <c r="L48" s="596"/>
    </row>
    <row r="49" spans="3:12" ht="18.75" thickBot="1">
      <c r="E49" s="1215"/>
      <c r="F49" s="837"/>
      <c r="G49" s="825" t="s">
        <v>582</v>
      </c>
      <c r="H49" s="211" t="s">
        <v>583</v>
      </c>
      <c r="I49" s="826">
        <v>297.49484536082474</v>
      </c>
      <c r="J49" s="18">
        <f t="shared" si="0"/>
        <v>267.74536082474225</v>
      </c>
      <c r="K49" s="18">
        <f t="shared" si="2"/>
        <v>0</v>
      </c>
      <c r="L49" s="596"/>
    </row>
    <row r="50" spans="3:12" ht="18.75" thickBot="1">
      <c r="E50" s="1215"/>
      <c r="F50" s="837"/>
      <c r="G50" s="825" t="s">
        <v>584</v>
      </c>
      <c r="H50" s="211" t="s">
        <v>585</v>
      </c>
      <c r="I50" s="826">
        <v>297.49484536082474</v>
      </c>
      <c r="J50" s="18">
        <f>I50*(1-10%)</f>
        <v>267.74536082474225</v>
      </c>
      <c r="K50" s="18">
        <f>J50*F50</f>
        <v>0</v>
      </c>
      <c r="L50" s="596"/>
    </row>
    <row r="51" spans="3:12" ht="18.75" thickBot="1">
      <c r="E51" s="1215"/>
      <c r="F51" s="837"/>
      <c r="G51" s="825" t="s">
        <v>586</v>
      </c>
      <c r="H51" s="211" t="s">
        <v>587</v>
      </c>
      <c r="I51" s="826">
        <v>297.49484536082474</v>
      </c>
      <c r="J51" s="18">
        <f>I51*(1-10%)</f>
        <v>267.74536082474225</v>
      </c>
      <c r="K51" s="18">
        <f>J51*F51</f>
        <v>0</v>
      </c>
      <c r="L51" s="596"/>
    </row>
    <row r="52" spans="3:12" ht="18.75" thickBot="1">
      <c r="E52" s="1215"/>
      <c r="F52" s="824"/>
      <c r="G52" s="827" t="s">
        <v>615</v>
      </c>
      <c r="H52" s="19" t="s">
        <v>616</v>
      </c>
      <c r="I52" s="828">
        <v>151.69072164948452</v>
      </c>
      <c r="J52" s="18">
        <f t="shared" si="0"/>
        <v>136.52164948453606</v>
      </c>
      <c r="K52" s="18">
        <f t="shared" si="2"/>
        <v>0</v>
      </c>
      <c r="L52" s="596"/>
    </row>
    <row r="53" spans="3:12" ht="18.75" thickBot="1">
      <c r="E53" s="1215"/>
      <c r="F53" s="837"/>
      <c r="G53" s="827" t="s">
        <v>617</v>
      </c>
      <c r="H53" s="19" t="s">
        <v>618</v>
      </c>
      <c r="I53" s="828">
        <v>92.783505154639172</v>
      </c>
      <c r="J53" s="18">
        <f t="shared" si="0"/>
        <v>83.505154639175259</v>
      </c>
      <c r="K53" s="18">
        <f t="shared" si="2"/>
        <v>0</v>
      </c>
      <c r="L53" s="596"/>
    </row>
    <row r="54" spans="3:12" ht="18.75" thickBot="1">
      <c r="E54" s="1215"/>
      <c r="F54" s="837"/>
      <c r="G54" s="825" t="s">
        <v>619</v>
      </c>
      <c r="H54" s="211" t="s">
        <v>620</v>
      </c>
      <c r="I54" s="826">
        <v>64.80412371134021</v>
      </c>
      <c r="J54" s="18">
        <f t="shared" si="0"/>
        <v>58.323711340206188</v>
      </c>
      <c r="K54" s="18">
        <f t="shared" si="2"/>
        <v>0</v>
      </c>
      <c r="L54" s="596"/>
    </row>
    <row r="55" spans="3:12" ht="18.75" thickBot="1">
      <c r="E55" s="1215"/>
      <c r="F55" s="824"/>
      <c r="G55" s="827" t="s">
        <v>621</v>
      </c>
      <c r="H55" s="19" t="s">
        <v>622</v>
      </c>
      <c r="I55" s="828">
        <v>220.91752577319588</v>
      </c>
      <c r="J55" s="18">
        <f t="shared" si="0"/>
        <v>198.82577319587628</v>
      </c>
      <c r="K55" s="18">
        <f t="shared" si="2"/>
        <v>0</v>
      </c>
      <c r="L55" s="596"/>
    </row>
    <row r="56" spans="3:12" ht="18.75" thickBot="1">
      <c r="E56" s="1216"/>
      <c r="F56" s="837"/>
      <c r="G56" s="827" t="s">
        <v>588</v>
      </c>
      <c r="H56" s="19" t="s">
        <v>589</v>
      </c>
      <c r="I56" s="828">
        <v>41.237113402061858</v>
      </c>
      <c r="J56" s="18">
        <f>I56*(1-10%)</f>
        <v>37.113402061855673</v>
      </c>
      <c r="K56" s="18">
        <f>J56*F56</f>
        <v>0</v>
      </c>
      <c r="L56" s="596"/>
    </row>
    <row r="57" spans="3:12" ht="23.25">
      <c r="C57" s="269"/>
      <c r="D57" s="283"/>
      <c r="E57" s="1217" t="s">
        <v>65</v>
      </c>
      <c r="F57" s="1217"/>
      <c r="G57" s="1217"/>
      <c r="H57" s="1217"/>
      <c r="I57" s="1217"/>
      <c r="J57" s="1217"/>
      <c r="K57" s="830">
        <f>SUM(K38:K56)</f>
        <v>0</v>
      </c>
    </row>
    <row r="58" spans="3:12" ht="15.75">
      <c r="C58" s="269"/>
      <c r="D58" s="283"/>
      <c r="E58" s="832"/>
      <c r="F58" s="833"/>
      <c r="G58" s="831"/>
      <c r="H58" s="271"/>
      <c r="I58" s="271"/>
      <c r="J58" s="271"/>
      <c r="K58" s="271"/>
    </row>
    <row r="59" spans="3:12" ht="15.75">
      <c r="C59" s="269"/>
      <c r="D59" s="283"/>
      <c r="E59" s="832"/>
      <c r="F59" s="833"/>
      <c r="G59" s="831"/>
      <c r="H59" s="271"/>
      <c r="I59" s="271"/>
      <c r="J59" s="271"/>
      <c r="K59" s="271"/>
    </row>
    <row r="60" spans="3:12" ht="15.75">
      <c r="C60" s="269"/>
      <c r="D60" s="283"/>
      <c r="E60" s="832"/>
      <c r="F60" s="833"/>
      <c r="G60" s="831"/>
      <c r="H60" s="271"/>
      <c r="I60" s="271"/>
      <c r="J60" s="271"/>
      <c r="K60" s="271"/>
    </row>
    <row r="61" spans="3:12" ht="15.75">
      <c r="C61" s="269"/>
      <c r="D61" s="283"/>
      <c r="E61" s="832"/>
      <c r="F61" s="833"/>
      <c r="G61" s="831"/>
      <c r="H61" s="271"/>
      <c r="I61" s="271"/>
      <c r="J61" s="271"/>
      <c r="K61" s="271"/>
    </row>
    <row r="62" spans="3:12" ht="15.75">
      <c r="C62" s="269"/>
      <c r="D62" s="283"/>
      <c r="E62" s="832"/>
      <c r="F62" s="833"/>
      <c r="G62" s="831"/>
      <c r="H62" s="271"/>
      <c r="I62" s="271"/>
      <c r="J62" s="271"/>
      <c r="K62" s="271"/>
    </row>
    <row r="63" spans="3:12">
      <c r="F63" s="831"/>
      <c r="G63" s="831"/>
      <c r="H63" s="271"/>
      <c r="I63" s="271"/>
      <c r="J63" s="271"/>
      <c r="K63" s="271"/>
    </row>
    <row r="64" spans="3:12">
      <c r="G64" s="831"/>
      <c r="I64" s="271"/>
      <c r="K64" s="271"/>
    </row>
    <row r="65" spans="2:3">
      <c r="B65" s="258"/>
      <c r="C65" s="258"/>
    </row>
  </sheetData>
  <mergeCells count="14">
    <mergeCell ref="E27:G27"/>
    <mergeCell ref="A4:K4"/>
    <mergeCell ref="A5:K5"/>
    <mergeCell ref="G10:I10"/>
    <mergeCell ref="E25:H25"/>
    <mergeCell ref="E26:H26"/>
    <mergeCell ref="E40:E56"/>
    <mergeCell ref="E57:J57"/>
    <mergeCell ref="E28:G28"/>
    <mergeCell ref="E29:G29"/>
    <mergeCell ref="E30:H30"/>
    <mergeCell ref="G35:H35"/>
    <mergeCell ref="F36:K36"/>
    <mergeCell ref="E39:K39"/>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DB260-C885-4B67-B82D-4DB008433789}">
  <sheetPr>
    <tabColor rgb="FFFF0000"/>
  </sheetPr>
  <dimension ref="A1:K42"/>
  <sheetViews>
    <sheetView topLeftCell="F7" zoomScale="65" zoomScaleNormal="65"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1.7109375" style="256" customWidth="1"/>
    <col min="9" max="9" width="20.85546875" style="256" customWidth="1"/>
    <col min="10" max="10" width="23" style="256" customWidth="1"/>
    <col min="11" max="11" width="20.42578125" style="256" customWidth="1"/>
    <col min="12"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623</v>
      </c>
      <c r="B4" s="1020"/>
      <c r="C4" s="1020"/>
      <c r="D4" s="1020"/>
      <c r="E4" s="1020"/>
      <c r="F4" s="1020"/>
      <c r="G4" s="1020"/>
      <c r="H4" s="1020"/>
      <c r="I4" s="1020"/>
      <c r="J4" s="1020"/>
      <c r="K4" s="1020"/>
    </row>
    <row r="5" spans="1:11" s="266" customFormat="1" ht="58.5" customHeight="1">
      <c r="A5" s="1228" t="s">
        <v>591</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592</v>
      </c>
      <c r="I11" s="803"/>
    </row>
    <row r="12" spans="1:11" s="265" customFormat="1" ht="18">
      <c r="F12" s="519"/>
      <c r="G12" s="284" t="s">
        <v>7</v>
      </c>
      <c r="H12" s="805">
        <v>30000</v>
      </c>
      <c r="I12" s="806"/>
      <c r="K12" s="282"/>
    </row>
    <row r="13" spans="1:11" s="265" customFormat="1" ht="18">
      <c r="F13" s="804"/>
      <c r="G13" s="284" t="s">
        <v>8</v>
      </c>
      <c r="H13" s="802" t="s">
        <v>624</v>
      </c>
      <c r="I13" s="803"/>
      <c r="K13" s="556"/>
    </row>
    <row r="14" spans="1:11" s="265" customFormat="1" ht="18">
      <c r="F14" s="804"/>
      <c r="G14" s="284" t="s">
        <v>10</v>
      </c>
      <c r="H14" s="802" t="s">
        <v>594</v>
      </c>
      <c r="I14" s="803"/>
    </row>
    <row r="15" spans="1:11" s="265" customFormat="1" ht="18">
      <c r="A15" s="799"/>
      <c r="B15" s="256"/>
      <c r="C15" s="256"/>
      <c r="D15" s="256"/>
      <c r="E15" s="256"/>
      <c r="F15" s="315"/>
      <c r="G15" s="284" t="s">
        <v>185</v>
      </c>
      <c r="H15" s="802" t="s">
        <v>625</v>
      </c>
      <c r="I15" s="803"/>
    </row>
    <row r="16" spans="1:11" s="265" customFormat="1" ht="18">
      <c r="A16" s="547"/>
      <c r="B16" s="256"/>
      <c r="C16" s="256"/>
      <c r="E16" s="256"/>
      <c r="F16" s="315"/>
      <c r="G16" s="284" t="s">
        <v>18</v>
      </c>
      <c r="H16" s="802" t="s">
        <v>596</v>
      </c>
      <c r="I16" s="803"/>
    </row>
    <row r="17" spans="1:11" s="265" customFormat="1" ht="18">
      <c r="A17" s="547"/>
      <c r="B17" s="256"/>
      <c r="C17" s="256"/>
      <c r="E17" s="256"/>
      <c r="F17" s="315"/>
      <c r="G17" s="284" t="s">
        <v>22</v>
      </c>
      <c r="H17" s="802" t="s">
        <v>23</v>
      </c>
      <c r="I17" s="803"/>
    </row>
    <row r="18" spans="1:11" s="265" customFormat="1" ht="18">
      <c r="F18" s="804"/>
      <c r="G18" s="284" t="s">
        <v>24</v>
      </c>
      <c r="H18" s="802" t="s">
        <v>626</v>
      </c>
      <c r="I18" s="803"/>
    </row>
    <row r="19" spans="1:11" s="265" customFormat="1" ht="18">
      <c r="F19" s="804"/>
      <c r="G19" s="284" t="s">
        <v>26</v>
      </c>
      <c r="H19" s="802" t="s">
        <v>627</v>
      </c>
      <c r="I19" s="803"/>
    </row>
    <row r="20" spans="1:11" s="265" customFormat="1" ht="18">
      <c r="F20" s="269"/>
      <c r="G20" s="284" t="s">
        <v>28</v>
      </c>
      <c r="H20" s="801" t="s">
        <v>628</v>
      </c>
      <c r="K20" s="282"/>
    </row>
    <row r="21" spans="1:11" s="265" customFormat="1" ht="15.75" customHeight="1">
      <c r="D21" s="277"/>
      <c r="E21" s="277"/>
      <c r="F21" s="269"/>
      <c r="G21" s="284"/>
      <c r="H21" s="802"/>
      <c r="I21" s="803"/>
    </row>
    <row r="22" spans="1:11" s="265" customFormat="1" ht="12.75" customHeight="1" thickBot="1">
      <c r="D22" s="277"/>
      <c r="E22" s="277"/>
      <c r="F22" s="834"/>
      <c r="G22" s="835"/>
      <c r="H22" s="802"/>
      <c r="I22" s="803"/>
    </row>
    <row r="23" spans="1:11" s="808" customFormat="1" ht="18">
      <c r="A23" s="547"/>
      <c r="B23" s="547"/>
      <c r="C23" s="547"/>
      <c r="D23" s="807"/>
      <c r="E23" s="1231" t="s">
        <v>30</v>
      </c>
      <c r="F23" s="1232"/>
      <c r="G23" s="1232"/>
      <c r="H23" s="1233"/>
      <c r="I23" s="807"/>
      <c r="J23" s="807"/>
      <c r="K23" s="807"/>
    </row>
    <row r="24" spans="1:11" s="808" customFormat="1" ht="17.45" customHeight="1">
      <c r="A24" s="547"/>
      <c r="B24" s="547"/>
      <c r="C24" s="547"/>
      <c r="D24" s="257"/>
      <c r="E24" s="1234" t="s">
        <v>603</v>
      </c>
      <c r="F24" s="1235"/>
      <c r="G24" s="1235"/>
      <c r="H24" s="1236"/>
      <c r="I24" s="256"/>
      <c r="J24" s="256"/>
      <c r="K24" s="256"/>
    </row>
    <row r="25" spans="1:11" s="808" customFormat="1" ht="17.45" customHeight="1">
      <c r="A25" s="547"/>
      <c r="B25" s="547"/>
      <c r="C25" s="547"/>
      <c r="D25" s="257"/>
      <c r="E25" s="1219" t="s">
        <v>33</v>
      </c>
      <c r="F25" s="1220"/>
      <c r="G25" s="1220"/>
      <c r="H25" s="810" t="s">
        <v>34</v>
      </c>
      <c r="I25" s="811"/>
      <c r="J25" s="811"/>
      <c r="K25" s="811"/>
    </row>
    <row r="26" spans="1:11" s="808" customFormat="1" ht="18">
      <c r="A26" s="547"/>
      <c r="B26" s="547"/>
      <c r="C26" s="547"/>
      <c r="D26" s="257"/>
      <c r="E26" s="1219" t="s">
        <v>36</v>
      </c>
      <c r="F26" s="1220"/>
      <c r="G26" s="1220"/>
      <c r="H26" s="812">
        <v>50</v>
      </c>
      <c r="I26" s="256"/>
      <c r="J26" s="256"/>
      <c r="K26" s="256"/>
    </row>
    <row r="27" spans="1:11" s="808" customFormat="1" ht="18">
      <c r="A27" s="547"/>
      <c r="B27" s="547"/>
      <c r="C27" s="547"/>
      <c r="D27" s="257"/>
      <c r="E27" s="1219" t="s">
        <v>37</v>
      </c>
      <c r="F27" s="1220"/>
      <c r="G27" s="1220"/>
      <c r="H27" s="810" t="s">
        <v>547</v>
      </c>
      <c r="I27" s="256"/>
      <c r="J27" s="256"/>
      <c r="K27" s="256"/>
    </row>
    <row r="28" spans="1:11" s="808" customFormat="1" ht="18.75" thickBot="1">
      <c r="A28" s="547"/>
      <c r="B28" s="547"/>
      <c r="C28" s="547"/>
      <c r="D28" s="547"/>
      <c r="E28" s="1221" t="s">
        <v>548</v>
      </c>
      <c r="F28" s="1222"/>
      <c r="G28" s="1222"/>
      <c r="H28" s="1223"/>
      <c r="I28" s="547"/>
      <c r="J28" s="547"/>
      <c r="K28" s="547"/>
    </row>
    <row r="29" spans="1:11" s="808" customFormat="1" ht="18">
      <c r="A29" s="547"/>
      <c r="B29" s="547"/>
      <c r="C29" s="547"/>
      <c r="D29" s="547"/>
      <c r="E29" s="256"/>
      <c r="F29" s="256"/>
      <c r="G29" s="256"/>
      <c r="H29" s="256"/>
      <c r="I29" s="547"/>
      <c r="J29" s="547"/>
      <c r="K29" s="547"/>
    </row>
    <row r="30" spans="1:11" s="808" customFormat="1" ht="18">
      <c r="A30" s="547"/>
      <c r="B30" s="547"/>
      <c r="C30" s="547"/>
      <c r="D30" s="547"/>
      <c r="E30" s="256"/>
      <c r="F30" s="256"/>
      <c r="G30" s="256"/>
      <c r="H30" s="256"/>
      <c r="I30" s="547"/>
      <c r="J30" s="547"/>
      <c r="K30" s="547"/>
    </row>
    <row r="31" spans="1:11" s="265" customFormat="1" ht="12.75" customHeight="1">
      <c r="D31" s="277"/>
      <c r="E31" s="277"/>
      <c r="F31" s="329"/>
      <c r="G31" s="256"/>
      <c r="H31" s="256"/>
      <c r="I31" s="256"/>
      <c r="J31" s="256"/>
      <c r="K31" s="558"/>
    </row>
    <row r="32" spans="1:11" s="265" customFormat="1" ht="12.75" customHeight="1">
      <c r="D32" s="277"/>
      <c r="E32" s="277"/>
      <c r="F32" s="834"/>
      <c r="G32" s="835"/>
      <c r="H32" s="802"/>
      <c r="I32" s="803"/>
    </row>
    <row r="33" spans="2:11" s="265" customFormat="1" ht="12.75" customHeight="1" thickBot="1">
      <c r="D33" s="277"/>
      <c r="E33" s="277"/>
      <c r="F33" s="329"/>
      <c r="G33" s="256"/>
      <c r="H33" s="256"/>
      <c r="I33" s="256"/>
      <c r="J33" s="256"/>
      <c r="K33" s="558"/>
    </row>
    <row r="34" spans="2:11" s="265" customFormat="1" ht="18" customHeight="1" thickBot="1">
      <c r="C34" s="277"/>
      <c r="D34" s="283"/>
      <c r="F34" s="1237" t="s">
        <v>43</v>
      </c>
      <c r="G34" s="1238"/>
      <c r="H34" s="1239"/>
      <c r="I34" s="1239"/>
      <c r="J34" s="1239"/>
      <c r="K34" s="1240"/>
    </row>
    <row r="35" spans="2:11" ht="98.25" thickBot="1">
      <c r="C35" s="269"/>
      <c r="D35" s="283"/>
      <c r="E35" s="814" t="s">
        <v>549</v>
      </c>
      <c r="F35" s="814" t="s">
        <v>46</v>
      </c>
      <c r="G35" s="814" t="s">
        <v>47</v>
      </c>
      <c r="H35" s="814" t="s">
        <v>48</v>
      </c>
      <c r="I35" s="814" t="s">
        <v>49</v>
      </c>
      <c r="J35" s="814" t="s">
        <v>50</v>
      </c>
      <c r="K35" s="814" t="s">
        <v>51</v>
      </c>
    </row>
    <row r="36" spans="2:11" ht="69.400000000000006" customHeight="1" thickBot="1">
      <c r="C36" s="269"/>
      <c r="D36" s="283"/>
      <c r="E36" s="816">
        <v>25</v>
      </c>
      <c r="F36" s="816"/>
      <c r="G36" s="816" t="s">
        <v>629</v>
      </c>
      <c r="H36" s="817" t="s">
        <v>630</v>
      </c>
      <c r="I36" s="818">
        <v>222.61</v>
      </c>
      <c r="J36" s="819">
        <f>SUM(I36:I36)*(1-20%)</f>
        <v>178.08800000000002</v>
      </c>
      <c r="K36" s="819">
        <f>J36*F36</f>
        <v>0</v>
      </c>
    </row>
    <row r="37" spans="2:11" ht="23.25">
      <c r="C37" s="269"/>
      <c r="D37" s="283"/>
      <c r="E37" s="1217" t="s">
        <v>65</v>
      </c>
      <c r="F37" s="1217"/>
      <c r="G37" s="1218"/>
      <c r="H37" s="1218"/>
      <c r="I37" s="1218"/>
      <c r="J37" s="1218"/>
      <c r="K37" s="830">
        <f>SUM(K36:K36)</f>
        <v>0</v>
      </c>
    </row>
    <row r="38" spans="2:11" ht="15.75">
      <c r="C38" s="269"/>
      <c r="D38" s="283"/>
      <c r="E38" s="832"/>
      <c r="F38" s="833"/>
      <c r="G38" s="831"/>
      <c r="H38" s="271"/>
      <c r="I38" s="271"/>
      <c r="J38" s="271"/>
      <c r="K38" s="271"/>
    </row>
    <row r="39" spans="2:11" ht="15.75">
      <c r="C39" s="269"/>
      <c r="D39" s="283"/>
      <c r="E39" s="832"/>
      <c r="F39" s="833"/>
      <c r="G39" s="831"/>
      <c r="H39" s="271"/>
      <c r="I39" s="271"/>
      <c r="J39" s="271"/>
      <c r="K39" s="271"/>
    </row>
    <row r="40" spans="2:11">
      <c r="F40" s="831"/>
      <c r="G40" s="831"/>
      <c r="H40" s="271"/>
      <c r="I40" s="271"/>
      <c r="J40" s="271"/>
      <c r="K40" s="271"/>
    </row>
    <row r="41" spans="2:11">
      <c r="G41" s="831"/>
      <c r="I41" s="271"/>
      <c r="K41" s="271"/>
    </row>
    <row r="42" spans="2:11">
      <c r="B42" s="258"/>
      <c r="C42" s="258"/>
    </row>
  </sheetData>
  <mergeCells count="11">
    <mergeCell ref="E25:G25"/>
    <mergeCell ref="A4:K4"/>
    <mergeCell ref="A5:K5"/>
    <mergeCell ref="G10:I10"/>
    <mergeCell ref="E23:H23"/>
    <mergeCell ref="E24:H24"/>
    <mergeCell ref="E26:G26"/>
    <mergeCell ref="E27:G27"/>
    <mergeCell ref="E28:H28"/>
    <mergeCell ref="F34:K34"/>
    <mergeCell ref="E37:J37"/>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2A803-463B-4404-B19E-BC8A9BCA85CB}">
  <sheetPr>
    <tabColor indexed="62"/>
  </sheetPr>
  <dimension ref="A1:L74"/>
  <sheetViews>
    <sheetView topLeftCell="A34" zoomScale="80" zoomScaleNormal="80" workbookViewId="0">
      <selection activeCell="D45" sqref="D4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6.42578125" style="333" customWidth="1"/>
    <col min="7" max="7" width="38.85546875" style="333" customWidth="1"/>
    <col min="8" max="8" width="50.7109375" style="256" customWidth="1"/>
    <col min="9" max="9" width="20.85546875" style="256" customWidth="1"/>
    <col min="10" max="10" width="23" style="256" customWidth="1"/>
    <col min="11" max="11" width="20.42578125" style="256" customWidth="1"/>
    <col min="12"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631</v>
      </c>
      <c r="B4" s="1020"/>
      <c r="C4" s="1020"/>
      <c r="D4" s="1020"/>
      <c r="E4" s="1020"/>
      <c r="F4" s="1020"/>
      <c r="G4" s="1020"/>
      <c r="H4" s="1020"/>
      <c r="I4" s="1020"/>
      <c r="J4" s="1020"/>
      <c r="K4" s="1020"/>
    </row>
    <row r="5" spans="1:11" s="266" customFormat="1" ht="58.5" customHeight="1">
      <c r="A5" s="1228" t="s">
        <v>632</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540</v>
      </c>
      <c r="I11" s="803"/>
    </row>
    <row r="12" spans="1:11" s="265" customFormat="1" ht="18">
      <c r="F12" s="519"/>
      <c r="G12" s="284" t="s">
        <v>7</v>
      </c>
      <c r="H12" s="805">
        <v>120000</v>
      </c>
      <c r="I12" s="806"/>
      <c r="K12" s="282"/>
    </row>
    <row r="13" spans="1:11" s="265" customFormat="1" ht="18">
      <c r="F13" s="804"/>
      <c r="G13" s="284" t="s">
        <v>8</v>
      </c>
      <c r="H13" s="802" t="s">
        <v>606</v>
      </c>
      <c r="I13" s="803"/>
      <c r="K13" s="556"/>
    </row>
    <row r="14" spans="1:11" s="265" customFormat="1" ht="18">
      <c r="F14" s="804"/>
      <c r="G14" s="284" t="s">
        <v>10</v>
      </c>
      <c r="H14" s="802" t="s">
        <v>11</v>
      </c>
      <c r="I14" s="803"/>
    </row>
    <row r="15" spans="1:11" s="265" customFormat="1" ht="18">
      <c r="A15" s="799"/>
      <c r="B15" s="256"/>
      <c r="C15" s="256"/>
      <c r="D15" s="256"/>
      <c r="E15" s="256"/>
      <c r="F15" s="315"/>
      <c r="G15" s="284" t="s">
        <v>185</v>
      </c>
      <c r="H15" s="802" t="s">
        <v>633</v>
      </c>
      <c r="I15" s="803"/>
    </row>
    <row r="16" spans="1:11" s="265" customFormat="1" ht="18">
      <c r="A16" s="547"/>
      <c r="B16" s="256"/>
      <c r="C16" s="256"/>
      <c r="E16" s="256"/>
      <c r="F16" s="315"/>
      <c r="G16" s="284" t="s">
        <v>18</v>
      </c>
      <c r="H16" s="802" t="s">
        <v>19</v>
      </c>
      <c r="I16" s="803"/>
    </row>
    <row r="17" spans="1:12" s="265" customFormat="1" ht="18">
      <c r="A17" s="547"/>
      <c r="B17" s="256"/>
      <c r="C17" s="256"/>
      <c r="E17" s="256"/>
      <c r="F17" s="315"/>
      <c r="G17" s="284" t="s">
        <v>20</v>
      </c>
      <c r="H17" s="802" t="s">
        <v>634</v>
      </c>
      <c r="I17" s="803"/>
    </row>
    <row r="18" spans="1:12" s="265" customFormat="1" ht="18">
      <c r="F18" s="804"/>
      <c r="G18" s="284" t="s">
        <v>22</v>
      </c>
      <c r="H18" s="802" t="s">
        <v>635</v>
      </c>
      <c r="I18" s="803"/>
    </row>
    <row r="19" spans="1:12" s="265" customFormat="1" ht="18">
      <c r="F19" s="804"/>
      <c r="G19" s="284" t="s">
        <v>24</v>
      </c>
      <c r="H19" s="802" t="s">
        <v>636</v>
      </c>
      <c r="I19" s="803"/>
    </row>
    <row r="20" spans="1:12" s="265" customFormat="1" ht="18">
      <c r="F20" s="269"/>
      <c r="G20" s="284" t="s">
        <v>26</v>
      </c>
      <c r="H20" s="802" t="s">
        <v>637</v>
      </c>
      <c r="I20" s="803"/>
      <c r="K20" s="282"/>
    </row>
    <row r="21" spans="1:12" s="265" customFormat="1" ht="15.6" customHeight="1">
      <c r="D21" s="277"/>
      <c r="E21" s="277"/>
      <c r="F21" s="269"/>
      <c r="G21" s="284" t="s">
        <v>28</v>
      </c>
      <c r="H21" s="802" t="s">
        <v>638</v>
      </c>
      <c r="I21" s="803"/>
    </row>
    <row r="22" spans="1:12" s="265" customFormat="1" ht="15.6" customHeight="1">
      <c r="D22" s="277"/>
      <c r="E22" s="277"/>
      <c r="F22" s="269"/>
      <c r="G22" s="284"/>
      <c r="H22" s="802"/>
      <c r="I22" s="803"/>
    </row>
    <row r="23" spans="1:12" s="265" customFormat="1" ht="12.6" customHeight="1" thickBot="1">
      <c r="D23" s="277"/>
      <c r="E23" s="277"/>
      <c r="F23" s="834"/>
      <c r="G23" s="835"/>
      <c r="H23" s="802"/>
      <c r="I23" s="803"/>
    </row>
    <row r="24" spans="1:12" s="808" customFormat="1" ht="18">
      <c r="A24" s="547"/>
      <c r="B24" s="547"/>
      <c r="C24" s="547"/>
      <c r="D24" s="807"/>
      <c r="E24" s="1231" t="s">
        <v>30</v>
      </c>
      <c r="F24" s="1232"/>
      <c r="G24" s="1232"/>
      <c r="H24" s="1233"/>
      <c r="I24" s="807"/>
      <c r="J24" s="807"/>
      <c r="K24" s="807"/>
      <c r="L24" s="807"/>
    </row>
    <row r="25" spans="1:12" s="808" customFormat="1" ht="17.45" customHeight="1">
      <c r="A25" s="547"/>
      <c r="B25" s="547"/>
      <c r="C25" s="547"/>
      <c r="D25" s="257"/>
      <c r="E25" s="1234" t="s">
        <v>639</v>
      </c>
      <c r="F25" s="1235"/>
      <c r="G25" s="1235"/>
      <c r="H25" s="1236"/>
      <c r="I25" s="256"/>
      <c r="J25" s="256"/>
      <c r="K25" s="256"/>
    </row>
    <row r="26" spans="1:12" s="808" customFormat="1" ht="17.45" customHeight="1">
      <c r="A26" s="547"/>
      <c r="B26" s="547"/>
      <c r="C26" s="547"/>
      <c r="D26" s="257"/>
      <c r="E26" s="1219" t="s">
        <v>33</v>
      </c>
      <c r="F26" s="1220"/>
      <c r="G26" s="1220"/>
      <c r="H26" s="810" t="s">
        <v>34</v>
      </c>
      <c r="I26" s="811"/>
      <c r="J26" s="811"/>
      <c r="K26" s="811"/>
    </row>
    <row r="27" spans="1:12" s="808" customFormat="1" ht="18">
      <c r="A27" s="547"/>
      <c r="B27" s="547"/>
      <c r="C27" s="547"/>
      <c r="D27" s="257"/>
      <c r="E27" s="1219" t="s">
        <v>36</v>
      </c>
      <c r="F27" s="1220"/>
      <c r="G27" s="1220"/>
      <c r="H27" s="812">
        <v>120</v>
      </c>
      <c r="I27" s="256"/>
      <c r="J27" s="256"/>
      <c r="K27" s="256"/>
    </row>
    <row r="28" spans="1:12" s="808" customFormat="1" ht="18">
      <c r="A28" s="547"/>
      <c r="B28" s="547"/>
      <c r="C28" s="547"/>
      <c r="D28" s="257"/>
      <c r="E28" s="1219" t="s">
        <v>37</v>
      </c>
      <c r="F28" s="1220"/>
      <c r="G28" s="1220"/>
      <c r="H28" s="810" t="s">
        <v>547</v>
      </c>
      <c r="I28" s="256"/>
      <c r="J28" s="256"/>
      <c r="K28" s="256"/>
    </row>
    <row r="29" spans="1:12" s="808" customFormat="1" ht="18.75" thickBot="1">
      <c r="A29" s="547"/>
      <c r="B29" s="547"/>
      <c r="C29" s="547"/>
      <c r="D29" s="547"/>
      <c r="E29" s="1221" t="s">
        <v>548</v>
      </c>
      <c r="F29" s="1222"/>
      <c r="G29" s="1222"/>
      <c r="H29" s="1223"/>
      <c r="I29" s="547"/>
      <c r="J29" s="547"/>
      <c r="K29" s="547"/>
    </row>
    <row r="30" spans="1:12" s="265" customFormat="1" ht="12.75" customHeight="1">
      <c r="D30" s="277"/>
      <c r="E30" s="277"/>
      <c r="F30" s="329"/>
      <c r="G30" s="256"/>
      <c r="H30" s="256"/>
      <c r="I30" s="256"/>
      <c r="J30" s="256"/>
      <c r="K30" s="558"/>
    </row>
    <row r="31" spans="1:12" s="265" customFormat="1" ht="12.75" customHeight="1">
      <c r="D31" s="277"/>
      <c r="E31" s="277"/>
      <c r="F31" s="329"/>
      <c r="G31" s="256"/>
      <c r="H31" s="256"/>
      <c r="I31" s="256"/>
      <c r="J31" s="256"/>
      <c r="K31" s="558"/>
    </row>
    <row r="32" spans="1:12" s="265" customFormat="1" ht="18" customHeight="1" thickBot="1">
      <c r="C32" s="277"/>
      <c r="D32" s="283"/>
      <c r="E32" s="284"/>
      <c r="F32" s="256"/>
      <c r="G32" s="1224"/>
      <c r="H32" s="1088"/>
      <c r="I32" s="287"/>
      <c r="J32" s="288"/>
    </row>
    <row r="33" spans="3:12" s="265" customFormat="1" ht="15.75" customHeight="1" thickBot="1">
      <c r="F33" s="1237" t="s">
        <v>43</v>
      </c>
      <c r="G33" s="1238"/>
      <c r="H33" s="1239"/>
      <c r="I33" s="1239"/>
      <c r="J33" s="1239"/>
      <c r="K33" s="1240"/>
    </row>
    <row r="34" spans="3:12" s="813" customFormat="1" ht="98.25" thickBot="1">
      <c r="E34" s="814" t="s">
        <v>549</v>
      </c>
      <c r="F34" s="814" t="s">
        <v>46</v>
      </c>
      <c r="G34" s="814" t="s">
        <v>47</v>
      </c>
      <c r="H34" s="814" t="s">
        <v>48</v>
      </c>
      <c r="I34" s="814" t="s">
        <v>49</v>
      </c>
      <c r="J34" s="814" t="s">
        <v>50</v>
      </c>
      <c r="K34" s="814" t="s">
        <v>51</v>
      </c>
    </row>
    <row r="35" spans="3:12" s="815" customFormat="1" ht="64.5" customHeight="1" thickBot="1">
      <c r="E35" s="816">
        <v>26</v>
      </c>
      <c r="F35" s="816"/>
      <c r="G35" s="816" t="s">
        <v>640</v>
      </c>
      <c r="H35" s="840" t="s">
        <v>641</v>
      </c>
      <c r="I35" s="818">
        <v>1643</v>
      </c>
      <c r="J35" s="841">
        <f>I35*(1-57.75%)</f>
        <v>694.16750000000002</v>
      </c>
      <c r="K35" s="841">
        <f>J35*F35</f>
        <v>0</v>
      </c>
    </row>
    <row r="36" spans="3:12" s="839" customFormat="1" ht="24" thickBot="1">
      <c r="E36" s="1225" t="s">
        <v>59</v>
      </c>
      <c r="F36" s="1226"/>
      <c r="G36" s="1226"/>
      <c r="H36" s="1226"/>
      <c r="I36" s="1226"/>
      <c r="J36" s="1226"/>
      <c r="K36" s="1226"/>
    </row>
    <row r="37" spans="3:12" ht="18.75" thickBot="1">
      <c r="E37" s="503"/>
      <c r="F37" s="820"/>
      <c r="G37" s="842" t="s">
        <v>103</v>
      </c>
      <c r="H37" s="719" t="s">
        <v>104</v>
      </c>
      <c r="I37" s="843">
        <v>129.99</v>
      </c>
      <c r="J37" s="720">
        <f>I37*(1-10%)</f>
        <v>116.99100000000001</v>
      </c>
      <c r="K37" s="720">
        <f>J37*F37</f>
        <v>0</v>
      </c>
      <c r="L37" s="596"/>
    </row>
    <row r="38" spans="3:12" ht="27" customHeight="1" thickBot="1">
      <c r="E38" s="1215"/>
      <c r="F38" s="820"/>
      <c r="G38" s="842" t="s">
        <v>105</v>
      </c>
      <c r="H38" s="719" t="s">
        <v>642</v>
      </c>
      <c r="I38" s="843">
        <v>399</v>
      </c>
      <c r="J38" s="720">
        <f>I38*(1-10%)</f>
        <v>359.1</v>
      </c>
      <c r="K38" s="720">
        <f t="shared" ref="K38:K56" si="0">J38*F38</f>
        <v>0</v>
      </c>
      <c r="L38" s="596"/>
    </row>
    <row r="39" spans="3:12" ht="30.75" thickBot="1">
      <c r="E39" s="1215"/>
      <c r="F39" s="837"/>
      <c r="G39" s="844" t="s">
        <v>643</v>
      </c>
      <c r="H39" s="721" t="s">
        <v>644</v>
      </c>
      <c r="I39" s="845">
        <v>200</v>
      </c>
      <c r="J39" s="722">
        <f t="shared" ref="J39:J56" si="1">I39*(1-10%)</f>
        <v>180</v>
      </c>
      <c r="K39" s="722">
        <f t="shared" si="0"/>
        <v>0</v>
      </c>
      <c r="L39" s="596"/>
    </row>
    <row r="40" spans="3:12" ht="30.75" thickBot="1">
      <c r="E40" s="1215"/>
      <c r="F40" s="837"/>
      <c r="G40" s="844" t="s">
        <v>330</v>
      </c>
      <c r="H40" s="721" t="s">
        <v>645</v>
      </c>
      <c r="I40" s="845">
        <v>299</v>
      </c>
      <c r="J40" s="722">
        <f t="shared" si="1"/>
        <v>269.10000000000002</v>
      </c>
      <c r="K40" s="722">
        <f t="shared" si="0"/>
        <v>0</v>
      </c>
      <c r="L40" s="596"/>
    </row>
    <row r="41" spans="3:12" ht="18.75" thickBot="1">
      <c r="E41" s="1215"/>
      <c r="F41" s="837"/>
      <c r="G41" s="844" t="s">
        <v>646</v>
      </c>
      <c r="H41" s="721" t="s">
        <v>647</v>
      </c>
      <c r="I41" s="845">
        <v>199</v>
      </c>
      <c r="J41" s="722">
        <f t="shared" si="1"/>
        <v>179.1</v>
      </c>
      <c r="K41" s="722">
        <f t="shared" si="0"/>
        <v>0</v>
      </c>
      <c r="L41" s="596"/>
    </row>
    <row r="42" spans="3:12" ht="18.75" thickBot="1">
      <c r="E42" s="1215"/>
      <c r="F42" s="824"/>
      <c r="G42" s="846" t="s">
        <v>77</v>
      </c>
      <c r="H42" s="723" t="s">
        <v>648</v>
      </c>
      <c r="I42" s="847">
        <v>329</v>
      </c>
      <c r="J42" s="722">
        <f t="shared" si="1"/>
        <v>296.10000000000002</v>
      </c>
      <c r="K42" s="724">
        <f t="shared" si="0"/>
        <v>0</v>
      </c>
      <c r="L42" s="596"/>
    </row>
    <row r="43" spans="3:12" ht="18.75" thickBot="1">
      <c r="C43" s="269"/>
      <c r="D43" s="283"/>
      <c r="E43" s="1215"/>
      <c r="F43" s="837"/>
      <c r="G43" s="846" t="s">
        <v>323</v>
      </c>
      <c r="H43" s="723" t="s">
        <v>101</v>
      </c>
      <c r="I43" s="847">
        <v>375</v>
      </c>
      <c r="J43" s="722">
        <f t="shared" si="1"/>
        <v>337.5</v>
      </c>
      <c r="K43" s="724">
        <f t="shared" si="0"/>
        <v>0</v>
      </c>
      <c r="L43" s="596"/>
    </row>
    <row r="44" spans="3:12" ht="18.75" thickBot="1">
      <c r="C44" s="269"/>
      <c r="D44" s="283"/>
      <c r="E44" s="1215"/>
      <c r="F44" s="837"/>
      <c r="G44" s="846" t="s">
        <v>113</v>
      </c>
      <c r="H44" s="723" t="s">
        <v>114</v>
      </c>
      <c r="I44" s="847">
        <v>220</v>
      </c>
      <c r="J44" s="722">
        <f t="shared" si="1"/>
        <v>198</v>
      </c>
      <c r="K44" s="722">
        <f t="shared" si="0"/>
        <v>0</v>
      </c>
      <c r="L44" s="596"/>
    </row>
    <row r="45" spans="3:12" ht="18.75" customHeight="1" thickBot="1">
      <c r="E45" s="1215"/>
      <c r="F45" s="820"/>
      <c r="G45" s="842" t="s">
        <v>115</v>
      </c>
      <c r="H45" s="719" t="s">
        <v>116</v>
      </c>
      <c r="I45" s="843">
        <v>307</v>
      </c>
      <c r="J45" s="720">
        <f>I45*(1-10%)</f>
        <v>276.3</v>
      </c>
      <c r="K45" s="720">
        <f>J45*F45</f>
        <v>0</v>
      </c>
      <c r="L45" s="596"/>
    </row>
    <row r="46" spans="3:12" ht="18.75" thickBot="1">
      <c r="E46" s="1215"/>
      <c r="F46" s="837"/>
      <c r="G46" s="846" t="s">
        <v>649</v>
      </c>
      <c r="H46" s="723" t="s">
        <v>650</v>
      </c>
      <c r="I46" s="847">
        <v>97</v>
      </c>
      <c r="J46" s="722">
        <f>I46*(1-10%)</f>
        <v>87.3</v>
      </c>
      <c r="K46" s="722">
        <f>J46*F46</f>
        <v>0</v>
      </c>
      <c r="L46" s="596"/>
    </row>
    <row r="47" spans="3:12" ht="18.75" thickBot="1">
      <c r="E47" s="1215"/>
      <c r="F47" s="837"/>
      <c r="G47" s="846" t="s">
        <v>119</v>
      </c>
      <c r="H47" s="723" t="s">
        <v>243</v>
      </c>
      <c r="I47" s="847">
        <v>222.6</v>
      </c>
      <c r="J47" s="722">
        <f t="shared" si="1"/>
        <v>200.34</v>
      </c>
      <c r="K47" s="722">
        <f t="shared" si="0"/>
        <v>0</v>
      </c>
      <c r="L47" s="596"/>
    </row>
    <row r="48" spans="3:12" ht="18.75" thickBot="1">
      <c r="E48" s="1215"/>
      <c r="F48" s="837"/>
      <c r="G48" s="846" t="s">
        <v>123</v>
      </c>
      <c r="H48" s="723" t="s">
        <v>124</v>
      </c>
      <c r="I48" s="847">
        <v>308</v>
      </c>
      <c r="J48" s="722">
        <f t="shared" si="1"/>
        <v>277.2</v>
      </c>
      <c r="K48" s="722">
        <f t="shared" si="0"/>
        <v>0</v>
      </c>
      <c r="L48" s="596"/>
    </row>
    <row r="49" spans="2:12" ht="18.75" thickBot="1">
      <c r="E49" s="1215"/>
      <c r="F49" s="837"/>
      <c r="G49" s="846" t="s">
        <v>125</v>
      </c>
      <c r="H49" s="723" t="s">
        <v>126</v>
      </c>
      <c r="I49" s="847">
        <v>136</v>
      </c>
      <c r="J49" s="722">
        <f t="shared" si="1"/>
        <v>122.4</v>
      </c>
      <c r="K49" s="722">
        <f t="shared" si="0"/>
        <v>0</v>
      </c>
      <c r="L49" s="596"/>
    </row>
    <row r="50" spans="2:12" ht="18.75" thickBot="1">
      <c r="E50" s="1215"/>
      <c r="F50" s="837"/>
      <c r="G50" s="846" t="s">
        <v>651</v>
      </c>
      <c r="H50" s="723" t="s">
        <v>652</v>
      </c>
      <c r="I50" s="847">
        <v>139</v>
      </c>
      <c r="J50" s="722">
        <f t="shared" si="1"/>
        <v>125.10000000000001</v>
      </c>
      <c r="K50" s="722">
        <f t="shared" si="0"/>
        <v>0</v>
      </c>
      <c r="L50" s="596"/>
    </row>
    <row r="51" spans="2:12" ht="18.75" thickBot="1">
      <c r="E51" s="1215"/>
      <c r="F51" s="837"/>
      <c r="G51" s="846" t="s">
        <v>143</v>
      </c>
      <c r="H51" s="723" t="s">
        <v>144</v>
      </c>
      <c r="I51" s="847">
        <v>95</v>
      </c>
      <c r="J51" s="722">
        <f t="shared" si="1"/>
        <v>85.5</v>
      </c>
      <c r="K51" s="722">
        <f t="shared" si="0"/>
        <v>0</v>
      </c>
      <c r="L51" s="596"/>
    </row>
    <row r="52" spans="2:12" ht="18.75" thickBot="1">
      <c r="E52" s="1215"/>
      <c r="F52" s="837"/>
      <c r="G52" s="846" t="s">
        <v>550</v>
      </c>
      <c r="H52" s="723" t="s">
        <v>653</v>
      </c>
      <c r="I52" s="847">
        <v>89</v>
      </c>
      <c r="J52" s="722">
        <f t="shared" si="1"/>
        <v>80.100000000000009</v>
      </c>
      <c r="K52" s="722">
        <f t="shared" si="0"/>
        <v>0</v>
      </c>
      <c r="L52" s="596"/>
    </row>
    <row r="53" spans="2:12" ht="18.75" thickBot="1">
      <c r="E53" s="1215"/>
      <c r="F53" s="824"/>
      <c r="G53" s="846" t="s">
        <v>145</v>
      </c>
      <c r="H53" s="723" t="s">
        <v>146</v>
      </c>
      <c r="I53" s="847">
        <v>374</v>
      </c>
      <c r="J53" s="722">
        <f t="shared" si="1"/>
        <v>336.6</v>
      </c>
      <c r="K53" s="724">
        <f t="shared" si="0"/>
        <v>0</v>
      </c>
      <c r="L53" s="596"/>
    </row>
    <row r="54" spans="2:12" ht="18.75" thickBot="1">
      <c r="C54" s="269"/>
      <c r="D54" s="283"/>
      <c r="E54" s="1215"/>
      <c r="F54" s="837"/>
      <c r="G54" s="844" t="s">
        <v>147</v>
      </c>
      <c r="H54" s="721" t="s">
        <v>654</v>
      </c>
      <c r="I54" s="845">
        <v>386</v>
      </c>
      <c r="J54" s="722">
        <f t="shared" si="1"/>
        <v>347.40000000000003</v>
      </c>
      <c r="K54" s="724">
        <f t="shared" si="0"/>
        <v>0</v>
      </c>
      <c r="L54" s="596"/>
    </row>
    <row r="55" spans="2:12" ht="18.75" thickBot="1">
      <c r="C55" s="269"/>
      <c r="D55" s="283"/>
      <c r="E55" s="1215"/>
      <c r="F55" s="837"/>
      <c r="G55" s="846" t="s">
        <v>530</v>
      </c>
      <c r="H55" s="723" t="s">
        <v>531</v>
      </c>
      <c r="I55" s="847">
        <v>286</v>
      </c>
      <c r="J55" s="722">
        <f t="shared" si="1"/>
        <v>257.40000000000003</v>
      </c>
      <c r="K55" s="722">
        <f t="shared" si="0"/>
        <v>0</v>
      </c>
      <c r="L55" s="596"/>
    </row>
    <row r="56" spans="2:12" ht="18.75" thickBot="1">
      <c r="C56" s="269"/>
      <c r="D56" s="283"/>
      <c r="E56" s="1215"/>
      <c r="F56" s="824"/>
      <c r="G56" s="844" t="s">
        <v>151</v>
      </c>
      <c r="H56" s="721" t="s">
        <v>152</v>
      </c>
      <c r="I56" s="845">
        <v>120</v>
      </c>
      <c r="J56" s="722">
        <f t="shared" si="1"/>
        <v>108</v>
      </c>
      <c r="K56" s="724">
        <f t="shared" si="0"/>
        <v>0</v>
      </c>
      <c r="L56" s="596"/>
    </row>
    <row r="57" spans="2:12" ht="23.25">
      <c r="C57" s="269"/>
      <c r="D57" s="283"/>
      <c r="E57" s="1217" t="s">
        <v>65</v>
      </c>
      <c r="F57" s="1217"/>
      <c r="G57" s="1217"/>
      <c r="H57" s="1217"/>
      <c r="I57" s="1217"/>
      <c r="J57" s="1217"/>
      <c r="K57" s="848">
        <f>SUM(K35:K56)</f>
        <v>0</v>
      </c>
    </row>
    <row r="58" spans="2:12" ht="15.75">
      <c r="C58" s="269"/>
      <c r="D58" s="283"/>
      <c r="E58" s="832"/>
      <c r="F58" s="833"/>
      <c r="G58" s="831"/>
      <c r="H58" s="271"/>
      <c r="I58" s="271"/>
      <c r="J58" s="271"/>
      <c r="K58" s="271"/>
    </row>
    <row r="59" spans="2:12">
      <c r="F59" s="831"/>
      <c r="G59" s="831"/>
      <c r="H59" s="271"/>
      <c r="I59" s="271"/>
      <c r="J59" s="271"/>
      <c r="K59" s="271"/>
    </row>
    <row r="60" spans="2:12">
      <c r="F60" s="831"/>
      <c r="G60" s="831"/>
      <c r="H60" s="271"/>
      <c r="I60" s="271"/>
      <c r="J60" s="271"/>
      <c r="K60" s="271"/>
    </row>
    <row r="61" spans="2:12">
      <c r="F61" s="831"/>
      <c r="G61" s="831"/>
      <c r="H61" s="271"/>
      <c r="I61" s="271"/>
      <c r="J61" s="271"/>
      <c r="K61" s="271"/>
    </row>
    <row r="62" spans="2:12">
      <c r="B62" s="258"/>
      <c r="C62" s="258"/>
      <c r="F62" s="831"/>
      <c r="G62" s="831"/>
      <c r="H62" s="271"/>
      <c r="I62" s="271"/>
      <c r="J62" s="271"/>
      <c r="K62" s="271"/>
    </row>
    <row r="63" spans="2:12">
      <c r="F63" s="831"/>
      <c r="G63" s="831"/>
      <c r="H63" s="271"/>
      <c r="I63" s="271"/>
      <c r="J63" s="271"/>
      <c r="K63" s="271"/>
    </row>
    <row r="64" spans="2:12">
      <c r="G64" s="831"/>
      <c r="I64" s="271"/>
      <c r="K64" s="271"/>
    </row>
    <row r="67" s="256" customFormat="1"/>
    <row r="68" s="256" customFormat="1"/>
    <row r="69" s="256" customFormat="1"/>
    <row r="70" s="256" customFormat="1"/>
    <row r="71" s="256" customFormat="1"/>
    <row r="72" s="256" customFormat="1"/>
    <row r="73" s="256" customFormat="1"/>
    <row r="74" s="256" customFormat="1"/>
  </sheetData>
  <mergeCells count="14">
    <mergeCell ref="E26:G26"/>
    <mergeCell ref="A4:K4"/>
    <mergeCell ref="A5:K5"/>
    <mergeCell ref="G10:I10"/>
    <mergeCell ref="E24:H24"/>
    <mergeCell ref="E25:H25"/>
    <mergeCell ref="E38:E56"/>
    <mergeCell ref="E57:J57"/>
    <mergeCell ref="E27:G27"/>
    <mergeCell ref="E28:G28"/>
    <mergeCell ref="E29:H29"/>
    <mergeCell ref="G32:H32"/>
    <mergeCell ref="F33:K33"/>
    <mergeCell ref="E36:K3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E6036-C07D-469C-B93C-6E39DECBA1D3}">
  <sheetPr>
    <tabColor rgb="FF006600"/>
  </sheetPr>
  <dimension ref="A1:M82"/>
  <sheetViews>
    <sheetView topLeftCell="D31" zoomScale="66" zoomScaleNormal="66"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4.28515625" style="256" customWidth="1"/>
    <col min="9" max="9" width="20.85546875" style="256" customWidth="1"/>
    <col min="10" max="10" width="23" style="256" customWidth="1"/>
    <col min="11" max="11" width="20.42578125" style="256" customWidth="1"/>
    <col min="12" max="12" width="15.5703125" style="256" customWidth="1"/>
    <col min="13"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655</v>
      </c>
      <c r="B4" s="1020"/>
      <c r="C4" s="1020"/>
      <c r="D4" s="1020"/>
      <c r="E4" s="1020"/>
      <c r="F4" s="1020"/>
      <c r="G4" s="1020"/>
      <c r="H4" s="1020"/>
      <c r="I4" s="1020"/>
      <c r="J4" s="1020"/>
      <c r="K4" s="1020"/>
    </row>
    <row r="5" spans="1:11" s="266" customFormat="1" ht="58.5" customHeight="1">
      <c r="A5" s="1228" t="s">
        <v>656</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553</v>
      </c>
      <c r="I11" s="803"/>
    </row>
    <row r="12" spans="1:11" s="265" customFormat="1" ht="18">
      <c r="F12" s="519"/>
      <c r="G12" s="284" t="s">
        <v>3</v>
      </c>
      <c r="H12" s="802" t="s">
        <v>554</v>
      </c>
      <c r="I12" s="803"/>
      <c r="K12" s="282"/>
    </row>
    <row r="13" spans="1:11" s="265" customFormat="1" ht="18">
      <c r="F13" s="804"/>
      <c r="G13" s="284" t="s">
        <v>7</v>
      </c>
      <c r="H13" s="805">
        <v>250000</v>
      </c>
      <c r="I13" s="806"/>
      <c r="K13" s="556"/>
    </row>
    <row r="14" spans="1:11" s="265" customFormat="1" ht="18">
      <c r="F14" s="804"/>
      <c r="G14" s="284" t="s">
        <v>8</v>
      </c>
      <c r="H14" s="802" t="s">
        <v>657</v>
      </c>
      <c r="I14" s="803"/>
    </row>
    <row r="15" spans="1:11" s="265" customFormat="1" ht="18">
      <c r="A15" s="799"/>
      <c r="B15" s="256"/>
      <c r="C15" s="256"/>
      <c r="D15" s="256"/>
      <c r="E15" s="256"/>
      <c r="F15" s="315"/>
      <c r="G15" s="284" t="s">
        <v>10</v>
      </c>
      <c r="H15" s="802" t="s">
        <v>11</v>
      </c>
      <c r="I15" s="803"/>
    </row>
    <row r="16" spans="1:11" s="265" customFormat="1" ht="18">
      <c r="A16" s="547"/>
      <c r="B16" s="256"/>
      <c r="C16" s="256"/>
      <c r="E16" s="256"/>
      <c r="F16" s="315"/>
      <c r="G16" s="284" t="s">
        <v>185</v>
      </c>
      <c r="H16" s="802" t="s">
        <v>658</v>
      </c>
      <c r="I16" s="803"/>
    </row>
    <row r="17" spans="1:13" s="265" customFormat="1" ht="18">
      <c r="F17" s="804"/>
      <c r="G17" s="284" t="s">
        <v>18</v>
      </c>
      <c r="H17" s="802" t="s">
        <v>19</v>
      </c>
      <c r="I17" s="803"/>
    </row>
    <row r="18" spans="1:13" s="265" customFormat="1" ht="18">
      <c r="F18" s="804"/>
      <c r="G18" s="284" t="s">
        <v>20</v>
      </c>
      <c r="H18" s="802" t="s">
        <v>659</v>
      </c>
      <c r="I18" s="803"/>
    </row>
    <row r="19" spans="1:13" s="265" customFormat="1" ht="18">
      <c r="F19" s="269"/>
      <c r="G19" s="284" t="s">
        <v>22</v>
      </c>
      <c r="H19" s="802" t="s">
        <v>608</v>
      </c>
      <c r="I19" s="803"/>
      <c r="K19" s="282"/>
    </row>
    <row r="20" spans="1:13" s="265" customFormat="1" ht="15.75" customHeight="1">
      <c r="D20" s="277"/>
      <c r="E20" s="277"/>
      <c r="F20" s="269"/>
      <c r="G20" s="284" t="s">
        <v>24</v>
      </c>
      <c r="H20" s="802" t="s">
        <v>559</v>
      </c>
      <c r="I20" s="803"/>
    </row>
    <row r="21" spans="1:13" s="265" customFormat="1" ht="18">
      <c r="D21" s="277"/>
      <c r="E21" s="277"/>
      <c r="F21" s="269"/>
      <c r="G21" s="284" t="s">
        <v>26</v>
      </c>
      <c r="H21" s="802" t="s">
        <v>660</v>
      </c>
      <c r="I21" s="803"/>
    </row>
    <row r="22" spans="1:13" s="265" customFormat="1" ht="18">
      <c r="D22" s="277"/>
      <c r="E22" s="277"/>
      <c r="F22" s="269"/>
      <c r="G22" s="284" t="s">
        <v>28</v>
      </c>
      <c r="H22" s="802" t="s">
        <v>661</v>
      </c>
      <c r="I22" s="803"/>
    </row>
    <row r="23" spans="1:13" s="265" customFormat="1" ht="12.75" customHeight="1" thickBot="1">
      <c r="D23" s="277"/>
      <c r="E23" s="277"/>
      <c r="F23" s="834"/>
      <c r="G23" s="835"/>
      <c r="H23" s="802"/>
      <c r="I23" s="803"/>
    </row>
    <row r="24" spans="1:13" s="808" customFormat="1" ht="18">
      <c r="A24" s="547"/>
      <c r="B24" s="547"/>
      <c r="C24" s="547"/>
      <c r="D24" s="807"/>
      <c r="E24" s="1231" t="s">
        <v>30</v>
      </c>
      <c r="F24" s="1232"/>
      <c r="G24" s="1232"/>
      <c r="H24" s="1233"/>
      <c r="I24" s="807"/>
      <c r="J24" s="807"/>
      <c r="K24" s="807"/>
      <c r="L24" s="807"/>
      <c r="M24" s="807"/>
    </row>
    <row r="25" spans="1:13" s="808" customFormat="1" ht="17.45" customHeight="1">
      <c r="A25" s="547"/>
      <c r="B25" s="547"/>
      <c r="C25" s="547"/>
      <c r="D25" s="257"/>
      <c r="E25" s="1234" t="s">
        <v>639</v>
      </c>
      <c r="F25" s="1235"/>
      <c r="G25" s="1235"/>
      <c r="H25" s="1236"/>
      <c r="I25" s="256"/>
      <c r="J25" s="256"/>
      <c r="K25" s="256"/>
    </row>
    <row r="26" spans="1:13" s="808" customFormat="1" ht="17.45" customHeight="1">
      <c r="A26" s="547"/>
      <c r="B26" s="547"/>
      <c r="C26" s="547"/>
      <c r="D26" s="257"/>
      <c r="E26" s="1219" t="s">
        <v>33</v>
      </c>
      <c r="F26" s="1220"/>
      <c r="G26" s="1220"/>
      <c r="H26" s="810" t="s">
        <v>34</v>
      </c>
      <c r="I26" s="811"/>
      <c r="J26" s="811"/>
      <c r="K26" s="811"/>
    </row>
    <row r="27" spans="1:13" s="808" customFormat="1" ht="18">
      <c r="A27" s="547"/>
      <c r="B27" s="547"/>
      <c r="C27" s="547"/>
      <c r="D27" s="257"/>
      <c r="E27" s="1219" t="s">
        <v>36</v>
      </c>
      <c r="F27" s="1220"/>
      <c r="G27" s="1220"/>
      <c r="H27" s="812">
        <v>200</v>
      </c>
      <c r="I27" s="256"/>
      <c r="J27" s="256"/>
      <c r="K27" s="256"/>
    </row>
    <row r="28" spans="1:13" s="808" customFormat="1" ht="18">
      <c r="A28" s="547"/>
      <c r="B28" s="547"/>
      <c r="C28" s="547"/>
      <c r="D28" s="257"/>
      <c r="E28" s="1219" t="s">
        <v>37</v>
      </c>
      <c r="F28" s="1220"/>
      <c r="G28" s="1220"/>
      <c r="H28" s="810" t="s">
        <v>547</v>
      </c>
      <c r="I28" s="256"/>
      <c r="J28" s="256"/>
      <c r="K28" s="256"/>
    </row>
    <row r="29" spans="1:13" s="808" customFormat="1" ht="18.75" thickBot="1">
      <c r="A29" s="547"/>
      <c r="B29" s="547"/>
      <c r="C29" s="547"/>
      <c r="D29" s="547"/>
      <c r="E29" s="1221" t="s">
        <v>548</v>
      </c>
      <c r="F29" s="1222"/>
      <c r="G29" s="1222"/>
      <c r="H29" s="1223"/>
      <c r="I29" s="547"/>
      <c r="J29" s="547"/>
      <c r="K29" s="547"/>
    </row>
    <row r="30" spans="1:13" s="265" customFormat="1" ht="12.75" customHeight="1">
      <c r="D30" s="277"/>
      <c r="E30" s="277"/>
      <c r="F30" s="329"/>
      <c r="G30" s="256"/>
      <c r="H30" s="256"/>
      <c r="I30" s="256"/>
      <c r="J30" s="256"/>
      <c r="K30" s="558"/>
    </row>
    <row r="31" spans="1:13" s="265" customFormat="1" ht="18" customHeight="1" thickBot="1">
      <c r="C31" s="277"/>
      <c r="D31" s="283"/>
      <c r="E31" s="284"/>
      <c r="F31" s="256"/>
      <c r="G31" s="1224"/>
      <c r="H31" s="1088"/>
      <c r="I31" s="287"/>
      <c r="J31" s="288"/>
    </row>
    <row r="32" spans="1:13" s="265" customFormat="1" ht="15.75" customHeight="1" thickBot="1">
      <c r="F32" s="1063" t="s">
        <v>43</v>
      </c>
      <c r="G32" s="1101"/>
      <c r="H32" s="1003"/>
      <c r="I32" s="1003"/>
      <c r="J32" s="1003"/>
      <c r="K32" s="1025"/>
    </row>
    <row r="33" spans="3:12" s="813" customFormat="1" ht="98.25" thickBot="1">
      <c r="E33" s="814" t="s">
        <v>549</v>
      </c>
      <c r="F33" s="814" t="s">
        <v>46</v>
      </c>
      <c r="G33" s="814" t="s">
        <v>47</v>
      </c>
      <c r="H33" s="814" t="s">
        <v>48</v>
      </c>
      <c r="I33" s="814" t="s">
        <v>49</v>
      </c>
      <c r="J33" s="814" t="s">
        <v>50</v>
      </c>
      <c r="K33" s="814" t="s">
        <v>51</v>
      </c>
    </row>
    <row r="34" spans="3:12" s="815" customFormat="1" ht="64.5" customHeight="1" thickBot="1">
      <c r="E34" s="816">
        <v>26</v>
      </c>
      <c r="F34" s="816"/>
      <c r="G34" s="816" t="s">
        <v>662</v>
      </c>
      <c r="H34" s="817" t="s">
        <v>663</v>
      </c>
      <c r="I34" s="818">
        <v>2244.23</v>
      </c>
      <c r="J34" s="841">
        <f>SUM(I34)*(1-50%)</f>
        <v>1122.115</v>
      </c>
      <c r="K34" s="841">
        <f>J34*F34</f>
        <v>0</v>
      </c>
    </row>
    <row r="35" spans="3:12" s="839" customFormat="1" ht="24" thickBot="1">
      <c r="E35" s="1225" t="s">
        <v>59</v>
      </c>
      <c r="F35" s="1226"/>
      <c r="G35" s="1226"/>
      <c r="H35" s="1226"/>
      <c r="I35" s="1226"/>
      <c r="J35" s="1226"/>
      <c r="K35" s="1226"/>
    </row>
    <row r="36" spans="3:12" ht="27" customHeight="1" thickBot="1">
      <c r="E36" s="1215"/>
      <c r="F36" s="820"/>
      <c r="G36" s="821" t="s">
        <v>664</v>
      </c>
      <c r="H36" s="482" t="s">
        <v>665</v>
      </c>
      <c r="I36" s="822">
        <v>260.68041237113403</v>
      </c>
      <c r="J36" s="485">
        <f t="shared" ref="J36:J64" si="0">I36*(1-10%)</f>
        <v>234.61237113402063</v>
      </c>
      <c r="K36" s="485">
        <f t="shared" ref="K36:K64" si="1">J36*F36</f>
        <v>0</v>
      </c>
      <c r="L36" s="596"/>
    </row>
    <row r="37" spans="3:12" ht="18.75" thickBot="1">
      <c r="E37" s="1215"/>
      <c r="F37" s="837"/>
      <c r="G37" s="825" t="s">
        <v>666</v>
      </c>
      <c r="H37" s="211" t="s">
        <v>667</v>
      </c>
      <c r="I37" s="826">
        <v>103.09278350515464</v>
      </c>
      <c r="J37" s="212">
        <f t="shared" si="0"/>
        <v>92.783505154639187</v>
      </c>
      <c r="K37" s="212">
        <f t="shared" si="1"/>
        <v>0</v>
      </c>
      <c r="L37" s="596"/>
    </row>
    <row r="38" spans="3:12" ht="18.75" thickBot="1">
      <c r="E38" s="1215"/>
      <c r="F38" s="837"/>
      <c r="G38" s="825" t="s">
        <v>668</v>
      </c>
      <c r="H38" s="211" t="s">
        <v>669</v>
      </c>
      <c r="I38" s="826">
        <v>313.70103092783506</v>
      </c>
      <c r="J38" s="212">
        <f t="shared" si="0"/>
        <v>282.33092783505157</v>
      </c>
      <c r="K38" s="212">
        <f t="shared" si="1"/>
        <v>0</v>
      </c>
      <c r="L38" s="596"/>
    </row>
    <row r="39" spans="3:12" ht="18.75" thickBot="1">
      <c r="E39" s="1215"/>
      <c r="F39" s="824"/>
      <c r="G39" s="827" t="s">
        <v>670</v>
      </c>
      <c r="H39" s="19" t="s">
        <v>671</v>
      </c>
      <c r="I39" s="828">
        <v>326.94845360824741</v>
      </c>
      <c r="J39" s="212">
        <f t="shared" si="0"/>
        <v>294.25360824742268</v>
      </c>
      <c r="K39" s="18">
        <f t="shared" si="1"/>
        <v>0</v>
      </c>
      <c r="L39" s="596"/>
    </row>
    <row r="40" spans="3:12" ht="18.75" thickBot="1">
      <c r="C40" s="269"/>
      <c r="D40" s="283"/>
      <c r="E40" s="1215"/>
      <c r="F40" s="837"/>
      <c r="G40" s="827" t="s">
        <v>672</v>
      </c>
      <c r="H40" s="19" t="s">
        <v>673</v>
      </c>
      <c r="I40" s="828">
        <v>129.5979381443299</v>
      </c>
      <c r="J40" s="212">
        <f t="shared" si="0"/>
        <v>116.63814432989692</v>
      </c>
      <c r="K40" s="18">
        <f t="shared" si="1"/>
        <v>0</v>
      </c>
      <c r="L40" s="596"/>
    </row>
    <row r="41" spans="3:12" ht="18.75" thickBot="1">
      <c r="C41" s="269"/>
      <c r="D41" s="283"/>
      <c r="E41" s="1215"/>
      <c r="F41" s="837"/>
      <c r="G41" s="825" t="s">
        <v>674</v>
      </c>
      <c r="H41" s="211" t="s">
        <v>675</v>
      </c>
      <c r="I41" s="826">
        <v>391.75257731958766</v>
      </c>
      <c r="J41" s="212">
        <f t="shared" si="0"/>
        <v>352.57731958762889</v>
      </c>
      <c r="K41" s="212">
        <f t="shared" si="1"/>
        <v>0</v>
      </c>
      <c r="L41" s="596"/>
    </row>
    <row r="42" spans="3:12" ht="18.75" thickBot="1">
      <c r="E42" s="1215"/>
      <c r="F42" s="837"/>
      <c r="G42" s="825" t="s">
        <v>676</v>
      </c>
      <c r="H42" s="211" t="s">
        <v>677</v>
      </c>
      <c r="I42" s="826">
        <v>653.90721649484533</v>
      </c>
      <c r="J42" s="212">
        <f t="shared" si="0"/>
        <v>588.51649484536085</v>
      </c>
      <c r="K42" s="212">
        <f t="shared" si="1"/>
        <v>0</v>
      </c>
      <c r="L42" s="596"/>
    </row>
    <row r="43" spans="3:12" ht="18.75" thickBot="1">
      <c r="E43" s="1215"/>
      <c r="F43" s="837"/>
      <c r="G43" s="825" t="s">
        <v>678</v>
      </c>
      <c r="H43" s="211" t="s">
        <v>679</v>
      </c>
      <c r="I43" s="826">
        <v>391.75257731958766</v>
      </c>
      <c r="J43" s="212">
        <f t="shared" si="0"/>
        <v>352.57731958762889</v>
      </c>
      <c r="K43" s="212">
        <f t="shared" si="1"/>
        <v>0</v>
      </c>
      <c r="L43" s="596"/>
    </row>
    <row r="44" spans="3:12" ht="18.75" thickBot="1">
      <c r="E44" s="1215"/>
      <c r="F44" s="837"/>
      <c r="G44" s="825" t="s">
        <v>680</v>
      </c>
      <c r="H44" s="211" t="s">
        <v>681</v>
      </c>
      <c r="I44" s="826">
        <v>391.75257731958766</v>
      </c>
      <c r="J44" s="212">
        <f t="shared" si="0"/>
        <v>352.57731958762889</v>
      </c>
      <c r="K44" s="212">
        <f t="shared" si="1"/>
        <v>0</v>
      </c>
      <c r="L44" s="596"/>
    </row>
    <row r="45" spans="3:12" ht="18.75" thickBot="1">
      <c r="E45" s="1215"/>
      <c r="F45" s="837"/>
      <c r="G45" s="825" t="s">
        <v>682</v>
      </c>
      <c r="H45" s="211" t="s">
        <v>683</v>
      </c>
      <c r="I45" s="826">
        <v>784.97938144329896</v>
      </c>
      <c r="J45" s="212">
        <f t="shared" si="0"/>
        <v>706.48144329896911</v>
      </c>
      <c r="K45" s="212">
        <f t="shared" si="1"/>
        <v>0</v>
      </c>
      <c r="L45" s="596"/>
    </row>
    <row r="46" spans="3:12" ht="18.75" thickBot="1">
      <c r="E46" s="1215"/>
      <c r="F46" s="824"/>
      <c r="G46" s="827" t="s">
        <v>684</v>
      </c>
      <c r="H46" s="19" t="s">
        <v>685</v>
      </c>
      <c r="I46" s="828">
        <v>195.87628865979383</v>
      </c>
      <c r="J46" s="212">
        <f t="shared" si="0"/>
        <v>176.28865979381445</v>
      </c>
      <c r="K46" s="18">
        <f t="shared" si="1"/>
        <v>0</v>
      </c>
      <c r="L46" s="596"/>
    </row>
    <row r="47" spans="3:12" ht="18.75" thickBot="1">
      <c r="C47" s="269"/>
      <c r="D47" s="283"/>
      <c r="E47" s="1215"/>
      <c r="F47" s="837"/>
      <c r="G47" s="827" t="s">
        <v>686</v>
      </c>
      <c r="H47" s="19" t="s">
        <v>687</v>
      </c>
      <c r="I47" s="828">
        <v>653.90721649484533</v>
      </c>
      <c r="J47" s="212">
        <f t="shared" si="0"/>
        <v>588.51649484536085</v>
      </c>
      <c r="K47" s="18">
        <f t="shared" si="1"/>
        <v>0</v>
      </c>
      <c r="L47" s="596"/>
    </row>
    <row r="48" spans="3:12" ht="18.75" thickBot="1">
      <c r="C48" s="269"/>
      <c r="D48" s="283"/>
      <c r="E48" s="1215"/>
      <c r="F48" s="837"/>
      <c r="G48" s="825" t="s">
        <v>613</v>
      </c>
      <c r="H48" s="211" t="s">
        <v>688</v>
      </c>
      <c r="I48" s="826">
        <v>564.06185567010311</v>
      </c>
      <c r="J48" s="212">
        <f t="shared" si="0"/>
        <v>507.6556701030928</v>
      </c>
      <c r="K48" s="212">
        <f t="shared" si="1"/>
        <v>0</v>
      </c>
      <c r="L48" s="596"/>
    </row>
    <row r="49" spans="3:12" ht="18.75" thickBot="1">
      <c r="E49" s="1215"/>
      <c r="F49" s="837"/>
      <c r="G49" s="825" t="s">
        <v>570</v>
      </c>
      <c r="H49" s="211" t="s">
        <v>571</v>
      </c>
      <c r="I49" s="826">
        <v>78.051546391752566</v>
      </c>
      <c r="J49" s="212">
        <f>I49*(1-10%)</f>
        <v>70.24639175257731</v>
      </c>
      <c r="K49" s="212">
        <f>J49*F49</f>
        <v>0</v>
      </c>
      <c r="L49" s="596"/>
    </row>
    <row r="50" spans="3:12" ht="18.75" thickBot="1">
      <c r="E50" s="1215"/>
      <c r="F50" s="837"/>
      <c r="G50" s="825" t="s">
        <v>689</v>
      </c>
      <c r="H50" s="211" t="s">
        <v>690</v>
      </c>
      <c r="I50" s="826">
        <v>233.86597938144331</v>
      </c>
      <c r="J50" s="212">
        <f>I50*(1-10%)</f>
        <v>210.47938144329899</v>
      </c>
      <c r="K50" s="212">
        <f>J50*F50</f>
        <v>0</v>
      </c>
      <c r="L50" s="596"/>
    </row>
    <row r="51" spans="3:12" ht="18.75" thickBot="1">
      <c r="E51" s="1215"/>
      <c r="F51" s="824"/>
      <c r="G51" s="827" t="s">
        <v>574</v>
      </c>
      <c r="H51" s="19" t="s">
        <v>575</v>
      </c>
      <c r="I51" s="828">
        <v>447.7216494845361</v>
      </c>
      <c r="J51" s="212">
        <f t="shared" si="0"/>
        <v>402.94948453608248</v>
      </c>
      <c r="K51" s="18">
        <f t="shared" si="1"/>
        <v>0</v>
      </c>
      <c r="L51" s="596"/>
    </row>
    <row r="52" spans="3:12" ht="18.75" thickBot="1">
      <c r="C52" s="269"/>
      <c r="D52" s="283"/>
      <c r="E52" s="1215"/>
      <c r="F52" s="837"/>
      <c r="G52" s="827" t="s">
        <v>576</v>
      </c>
      <c r="H52" s="19" t="s">
        <v>577</v>
      </c>
      <c r="I52" s="828">
        <v>665.68041237113403</v>
      </c>
      <c r="J52" s="212">
        <f t="shared" si="0"/>
        <v>599.11237113402069</v>
      </c>
      <c r="K52" s="18">
        <f t="shared" si="1"/>
        <v>0</v>
      </c>
      <c r="L52" s="596"/>
    </row>
    <row r="53" spans="3:12" ht="18.75" thickBot="1">
      <c r="C53" s="269"/>
      <c r="D53" s="283"/>
      <c r="E53" s="1215"/>
      <c r="F53" s="837"/>
      <c r="G53" s="825" t="s">
        <v>578</v>
      </c>
      <c r="H53" s="211" t="s">
        <v>579</v>
      </c>
      <c r="I53" s="826">
        <v>234.16494845360825</v>
      </c>
      <c r="J53" s="212">
        <f t="shared" si="0"/>
        <v>210.74845360824742</v>
      </c>
      <c r="K53" s="212">
        <f t="shared" si="1"/>
        <v>0</v>
      </c>
      <c r="L53" s="596"/>
    </row>
    <row r="54" spans="3:12" ht="18.75" thickBot="1">
      <c r="E54" s="1215"/>
      <c r="F54" s="837"/>
      <c r="G54" s="825" t="s">
        <v>580</v>
      </c>
      <c r="H54" s="211" t="s">
        <v>581</v>
      </c>
      <c r="I54" s="826">
        <v>297.49484536082474</v>
      </c>
      <c r="J54" s="212">
        <f t="shared" si="0"/>
        <v>267.74536082474225</v>
      </c>
      <c r="K54" s="212">
        <f t="shared" si="1"/>
        <v>0</v>
      </c>
      <c r="L54" s="596"/>
    </row>
    <row r="55" spans="3:12" ht="18.75" thickBot="1">
      <c r="E55" s="1215"/>
      <c r="F55" s="837"/>
      <c r="G55" s="825" t="s">
        <v>582</v>
      </c>
      <c r="H55" s="211" t="s">
        <v>583</v>
      </c>
      <c r="I55" s="826">
        <v>297.49484536082474</v>
      </c>
      <c r="J55" s="212">
        <f t="shared" si="0"/>
        <v>267.74536082474225</v>
      </c>
      <c r="K55" s="212">
        <f t="shared" si="1"/>
        <v>0</v>
      </c>
      <c r="L55" s="596"/>
    </row>
    <row r="56" spans="3:12" ht="18.75" thickBot="1">
      <c r="E56" s="1215"/>
      <c r="F56" s="824"/>
      <c r="G56" s="827" t="s">
        <v>584</v>
      </c>
      <c r="H56" s="19" t="s">
        <v>585</v>
      </c>
      <c r="I56" s="828">
        <v>297.49484536082474</v>
      </c>
      <c r="J56" s="212">
        <f t="shared" si="0"/>
        <v>267.74536082474225</v>
      </c>
      <c r="K56" s="18">
        <f t="shared" si="1"/>
        <v>0</v>
      </c>
      <c r="L56" s="596"/>
    </row>
    <row r="57" spans="3:12" ht="18.75" thickBot="1">
      <c r="C57" s="269"/>
      <c r="D57" s="283"/>
      <c r="E57" s="1215"/>
      <c r="F57" s="837"/>
      <c r="G57" s="827" t="s">
        <v>586</v>
      </c>
      <c r="H57" s="19" t="s">
        <v>587</v>
      </c>
      <c r="I57" s="828">
        <v>297.49484536082474</v>
      </c>
      <c r="J57" s="212">
        <f t="shared" si="0"/>
        <v>267.74536082474225</v>
      </c>
      <c r="K57" s="18">
        <f t="shared" si="1"/>
        <v>0</v>
      </c>
      <c r="L57" s="596"/>
    </row>
    <row r="58" spans="3:12" ht="18.75" thickBot="1">
      <c r="C58" s="269"/>
      <c r="D58" s="283"/>
      <c r="E58" s="1215"/>
      <c r="F58" s="837"/>
      <c r="G58" s="825" t="s">
        <v>691</v>
      </c>
      <c r="H58" s="211" t="s">
        <v>616</v>
      </c>
      <c r="I58" s="826">
        <v>92.783505154639172</v>
      </c>
      <c r="J58" s="212">
        <f t="shared" si="0"/>
        <v>83.505154639175259</v>
      </c>
      <c r="K58" s="212">
        <f t="shared" si="1"/>
        <v>0</v>
      </c>
      <c r="L58" s="596"/>
    </row>
    <row r="59" spans="3:12" ht="18.75" thickBot="1">
      <c r="E59" s="1215"/>
      <c r="F59" s="837"/>
      <c r="G59" s="825" t="s">
        <v>692</v>
      </c>
      <c r="H59" s="211" t="s">
        <v>618</v>
      </c>
      <c r="I59" s="826">
        <v>92.783505154639172</v>
      </c>
      <c r="J59" s="212">
        <f t="shared" si="0"/>
        <v>83.505154639175259</v>
      </c>
      <c r="K59" s="212">
        <f t="shared" si="1"/>
        <v>0</v>
      </c>
      <c r="L59" s="596"/>
    </row>
    <row r="60" spans="3:12" ht="18.75" thickBot="1">
      <c r="E60" s="1215"/>
      <c r="F60" s="837"/>
      <c r="G60" s="825" t="s">
        <v>693</v>
      </c>
      <c r="H60" s="211" t="s">
        <v>694</v>
      </c>
      <c r="I60" s="826">
        <v>587.62886597938143</v>
      </c>
      <c r="J60" s="212">
        <f t="shared" si="0"/>
        <v>528.86597938144325</v>
      </c>
      <c r="K60" s="212">
        <f t="shared" si="1"/>
        <v>0</v>
      </c>
      <c r="L60" s="596"/>
    </row>
    <row r="61" spans="3:12" ht="18.75" thickBot="1">
      <c r="E61" s="1215"/>
      <c r="F61" s="824"/>
      <c r="G61" s="827" t="s">
        <v>572</v>
      </c>
      <c r="H61" s="19" t="s">
        <v>573</v>
      </c>
      <c r="I61" s="828">
        <v>64.80412371134021</v>
      </c>
      <c r="J61" s="212">
        <f t="shared" si="0"/>
        <v>58.323711340206188</v>
      </c>
      <c r="K61" s="18">
        <f t="shared" si="1"/>
        <v>0</v>
      </c>
      <c r="L61" s="596"/>
    </row>
    <row r="62" spans="3:12" ht="18.75" thickBot="1">
      <c r="C62" s="269"/>
      <c r="D62" s="283"/>
      <c r="E62" s="1215"/>
      <c r="F62" s="837"/>
      <c r="G62" s="827">
        <v>1021231</v>
      </c>
      <c r="H62" s="19" t="s">
        <v>695</v>
      </c>
      <c r="I62" s="828">
        <v>29.44035346097202</v>
      </c>
      <c r="J62" s="212">
        <f t="shared" si="0"/>
        <v>26.496318114874818</v>
      </c>
      <c r="K62" s="18">
        <f t="shared" si="1"/>
        <v>0</v>
      </c>
      <c r="L62" s="596"/>
    </row>
    <row r="63" spans="3:12" ht="18.75" thickBot="1">
      <c r="C63" s="269"/>
      <c r="D63" s="283"/>
      <c r="E63" s="1215"/>
      <c r="F63" s="837"/>
      <c r="G63" s="825">
        <v>1021294</v>
      </c>
      <c r="H63" s="211" t="s">
        <v>696</v>
      </c>
      <c r="I63" s="826">
        <v>22.091310751104569</v>
      </c>
      <c r="J63" s="212">
        <f t="shared" si="0"/>
        <v>19.882179675994113</v>
      </c>
      <c r="K63" s="212">
        <f t="shared" si="1"/>
        <v>0</v>
      </c>
      <c r="L63" s="596"/>
    </row>
    <row r="64" spans="3:12" ht="18.75" thickBot="1">
      <c r="C64" s="269"/>
      <c r="D64" s="283"/>
      <c r="E64" s="1215"/>
      <c r="F64" s="824"/>
      <c r="G64" s="827" t="s">
        <v>588</v>
      </c>
      <c r="H64" s="19" t="s">
        <v>589</v>
      </c>
      <c r="I64" s="828">
        <v>41.237113402061858</v>
      </c>
      <c r="J64" s="212">
        <f t="shared" si="0"/>
        <v>37.113402061855673</v>
      </c>
      <c r="K64" s="18">
        <f t="shared" si="1"/>
        <v>0</v>
      </c>
      <c r="L64" s="596"/>
    </row>
    <row r="65" spans="2:11" ht="23.25">
      <c r="C65" s="269"/>
      <c r="D65" s="283"/>
      <c r="E65" s="1217" t="s">
        <v>65</v>
      </c>
      <c r="F65" s="1217"/>
      <c r="G65" s="1217"/>
      <c r="H65" s="1217"/>
      <c r="I65" s="1217"/>
      <c r="J65" s="1217"/>
      <c r="K65" s="848">
        <f>SUM(K34:K64)</f>
        <v>0</v>
      </c>
    </row>
    <row r="66" spans="2:11" ht="15.75">
      <c r="C66" s="269"/>
      <c r="D66" s="283"/>
      <c r="E66" s="832"/>
      <c r="F66" s="833"/>
      <c r="G66" s="831"/>
      <c r="H66" s="271"/>
      <c r="I66" s="271"/>
      <c r="J66" s="271"/>
      <c r="K66" s="271"/>
    </row>
    <row r="67" spans="2:11">
      <c r="F67" s="831"/>
      <c r="G67" s="831"/>
      <c r="H67" s="271"/>
      <c r="I67" s="271"/>
      <c r="J67" s="271"/>
      <c r="K67" s="271"/>
    </row>
    <row r="68" spans="2:11">
      <c r="F68" s="831"/>
      <c r="G68" s="831"/>
      <c r="H68" s="271"/>
      <c r="I68" s="271"/>
      <c r="J68" s="271"/>
      <c r="K68" s="271"/>
    </row>
    <row r="69" spans="2:11">
      <c r="F69" s="831"/>
      <c r="G69" s="831"/>
      <c r="H69" s="271"/>
      <c r="I69" s="271"/>
      <c r="J69" s="271"/>
      <c r="K69" s="271"/>
    </row>
    <row r="70" spans="2:11">
      <c r="B70" s="258"/>
      <c r="C70" s="258"/>
      <c r="F70" s="831"/>
      <c r="G70" s="831"/>
      <c r="H70" s="271"/>
      <c r="I70" s="271"/>
      <c r="J70" s="271"/>
      <c r="K70" s="271"/>
    </row>
    <row r="71" spans="2:11">
      <c r="F71" s="831"/>
      <c r="G71" s="831"/>
      <c r="H71" s="271"/>
      <c r="I71" s="271"/>
      <c r="J71" s="271"/>
      <c r="K71" s="271"/>
    </row>
    <row r="72" spans="2:11">
      <c r="G72" s="831"/>
      <c r="I72" s="271"/>
      <c r="K72" s="271"/>
    </row>
    <row r="75" spans="2:11">
      <c r="F75" s="256"/>
      <c r="G75" s="256"/>
    </row>
    <row r="76" spans="2:11">
      <c r="F76" s="256"/>
      <c r="G76" s="256"/>
    </row>
    <row r="77" spans="2:11">
      <c r="F77" s="256"/>
      <c r="G77" s="256"/>
    </row>
    <row r="78" spans="2:11">
      <c r="F78" s="256"/>
      <c r="G78" s="256"/>
    </row>
    <row r="79" spans="2:11">
      <c r="F79" s="256"/>
      <c r="G79" s="256"/>
    </row>
    <row r="80" spans="2:11">
      <c r="F80" s="256"/>
      <c r="G80" s="256"/>
    </row>
    <row r="81" s="256" customFormat="1"/>
    <row r="82" s="256" customFormat="1"/>
  </sheetData>
  <mergeCells count="14">
    <mergeCell ref="E26:G26"/>
    <mergeCell ref="A4:K4"/>
    <mergeCell ref="A5:K5"/>
    <mergeCell ref="G10:I10"/>
    <mergeCell ref="E24:H24"/>
    <mergeCell ref="E25:H25"/>
    <mergeCell ref="E36:E64"/>
    <mergeCell ref="E65:J65"/>
    <mergeCell ref="E27:G27"/>
    <mergeCell ref="E28:G28"/>
    <mergeCell ref="E29:H29"/>
    <mergeCell ref="G31:H31"/>
    <mergeCell ref="F32:K32"/>
    <mergeCell ref="E35:K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F7A94-75CF-49F3-A2D0-CE9367BEA442}">
  <sheetPr>
    <tabColor indexed="62"/>
  </sheetPr>
  <dimension ref="A1:P102"/>
  <sheetViews>
    <sheetView showOutlineSymbols="0" topLeftCell="A27" zoomScale="87" zoomScaleNormal="87" workbookViewId="0">
      <selection activeCell="E66" sqref="E66"/>
    </sheetView>
  </sheetViews>
  <sheetFormatPr defaultColWidth="8.85546875" defaultRowHeight="12.75" outlineLevelRow="2"/>
  <cols>
    <col min="1" max="1" width="14.7109375" style="256" customWidth="1"/>
    <col min="2" max="2" width="8.7109375" style="256" customWidth="1"/>
    <col min="3" max="3" width="20" style="256" bestFit="1" customWidth="1"/>
    <col min="4" max="4" width="43.140625" style="256" customWidth="1"/>
    <col min="5" max="5" width="15.7109375" style="256" customWidth="1"/>
    <col min="6" max="6" width="19.42578125" style="333" customWidth="1"/>
    <col min="7" max="7" width="13.85546875" style="333" customWidth="1"/>
    <col min="8" max="8" width="19.7109375" style="256" customWidth="1"/>
    <col min="9" max="9" width="18" style="256" customWidth="1"/>
    <col min="10" max="10" width="20.140625" style="256" customWidth="1"/>
    <col min="11" max="11" width="22.28515625" style="256" customWidth="1"/>
    <col min="12" max="12" width="20.28515625" style="256" customWidth="1"/>
    <col min="13" max="13" width="23.42578125" style="256" customWidth="1"/>
    <col min="14" max="14" width="20.5703125" style="256" customWidth="1"/>
    <col min="15" max="15" width="23.42578125" style="256" customWidth="1"/>
    <col min="16" max="16" width="11.42578125" style="256" customWidth="1"/>
    <col min="17" max="16384" width="8.85546875" style="256"/>
  </cols>
  <sheetData>
    <row r="1" spans="1:15" ht="13.5" thickBot="1">
      <c r="B1" s="257"/>
      <c r="C1" s="257"/>
      <c r="D1" s="258"/>
      <c r="E1" s="258"/>
      <c r="F1" s="259"/>
      <c r="G1" s="259"/>
      <c r="H1" s="259"/>
      <c r="I1" s="259"/>
      <c r="J1" s="259"/>
      <c r="K1" s="259"/>
      <c r="L1" s="259"/>
    </row>
    <row r="2" spans="1:15" ht="9" customHeight="1">
      <c r="A2" s="260"/>
      <c r="B2" s="261"/>
      <c r="C2" s="261"/>
      <c r="D2" s="262"/>
      <c r="E2" s="262"/>
      <c r="F2" s="263"/>
      <c r="G2" s="263"/>
      <c r="H2" s="263"/>
      <c r="I2" s="264"/>
      <c r="J2" s="264"/>
      <c r="K2" s="264"/>
      <c r="L2" s="264"/>
      <c r="M2" s="260"/>
      <c r="N2" s="260"/>
      <c r="O2" s="260"/>
    </row>
    <row r="3" spans="1:15" ht="10.5" customHeight="1">
      <c r="B3" s="257"/>
      <c r="C3" s="257"/>
      <c r="D3" s="258"/>
      <c r="E3" s="258"/>
      <c r="F3" s="259"/>
      <c r="G3" s="259"/>
      <c r="H3" s="259"/>
      <c r="I3" s="265"/>
      <c r="J3" s="265"/>
      <c r="K3" s="265"/>
      <c r="L3" s="265"/>
    </row>
    <row r="4" spans="1:15" ht="30">
      <c r="A4" s="1043" t="s">
        <v>81</v>
      </c>
      <c r="B4" s="1020"/>
      <c r="C4" s="1020"/>
      <c r="D4" s="1020"/>
      <c r="E4" s="1020"/>
      <c r="F4" s="1020"/>
      <c r="G4" s="1020"/>
      <c r="H4" s="1020"/>
      <c r="I4" s="1020"/>
      <c r="J4" s="1020"/>
      <c r="K4" s="1020"/>
      <c r="L4" s="1020"/>
      <c r="M4" s="1020"/>
      <c r="N4" s="1020"/>
      <c r="O4" s="1020"/>
    </row>
    <row r="5" spans="1:15" s="266" customFormat="1" ht="52.9" customHeight="1">
      <c r="A5" s="1044" t="s">
        <v>82</v>
      </c>
      <c r="B5" s="1045"/>
      <c r="C5" s="1045"/>
      <c r="D5" s="1045"/>
      <c r="E5" s="1045"/>
      <c r="F5" s="1045"/>
      <c r="G5" s="1045"/>
      <c r="H5" s="1045"/>
      <c r="I5" s="1045"/>
      <c r="J5" s="1045"/>
      <c r="K5" s="1045"/>
      <c r="L5" s="1045"/>
      <c r="M5" s="1045"/>
      <c r="N5" s="1045"/>
      <c r="O5" s="1045"/>
    </row>
    <row r="6" spans="1:15" ht="9" customHeight="1" thickBot="1">
      <c r="A6" s="267"/>
      <c r="B6" s="553"/>
      <c r="C6" s="553"/>
      <c r="D6" s="554"/>
      <c r="E6" s="554"/>
      <c r="F6" s="555"/>
      <c r="G6" s="555"/>
      <c r="H6" s="555"/>
      <c r="I6" s="506"/>
      <c r="J6" s="506"/>
      <c r="K6" s="506"/>
      <c r="L6" s="506"/>
      <c r="M6" s="267"/>
      <c r="N6" s="267"/>
      <c r="O6" s="267"/>
    </row>
    <row r="9" spans="1:15" s="265" customFormat="1" ht="14.25">
      <c r="B9" s="268"/>
      <c r="C9" s="268"/>
      <c r="D9" s="269"/>
      <c r="E9" s="269"/>
      <c r="F9" s="269"/>
      <c r="G9" s="269"/>
      <c r="H9" s="269"/>
      <c r="I9" s="269"/>
      <c r="J9" s="269"/>
      <c r="K9" s="269"/>
      <c r="L9" s="269"/>
      <c r="M9" s="269"/>
      <c r="N9" s="269"/>
      <c r="O9" s="269"/>
    </row>
    <row r="10" spans="1:15" s="265" customFormat="1" ht="14.25">
      <c r="F10" s="446"/>
      <c r="G10" s="1046" t="s">
        <v>0</v>
      </c>
      <c r="H10" s="1046"/>
      <c r="I10" s="1046"/>
      <c r="J10" s="1046"/>
      <c r="K10" s="507"/>
    </row>
    <row r="11" spans="1:15" s="265" customFormat="1">
      <c r="H11" s="270" t="s">
        <v>1</v>
      </c>
      <c r="I11" s="265" t="s">
        <v>83</v>
      </c>
    </row>
    <row r="12" spans="1:15" s="265" customFormat="1">
      <c r="H12" s="270" t="s">
        <v>3</v>
      </c>
      <c r="I12" s="282" t="s">
        <v>84</v>
      </c>
      <c r="J12" s="282"/>
      <c r="L12" s="282"/>
    </row>
    <row r="13" spans="1:15" s="265" customFormat="1">
      <c r="F13" s="446"/>
      <c r="G13" s="446"/>
      <c r="H13" s="276" t="s">
        <v>5</v>
      </c>
      <c r="I13" s="548" t="s">
        <v>6</v>
      </c>
      <c r="J13" s="548"/>
      <c r="L13" s="548"/>
    </row>
    <row r="14" spans="1:15" s="265" customFormat="1">
      <c r="F14" s="446"/>
      <c r="G14" s="446"/>
      <c r="H14" s="270" t="s">
        <v>7</v>
      </c>
      <c r="I14" s="556">
        <v>120000</v>
      </c>
      <c r="J14" s="556"/>
      <c r="L14" s="556"/>
    </row>
    <row r="15" spans="1:15" s="265" customFormat="1">
      <c r="F15" s="446"/>
      <c r="G15" s="446"/>
      <c r="H15" s="270" t="s">
        <v>8</v>
      </c>
      <c r="I15" s="265" t="s">
        <v>9</v>
      </c>
    </row>
    <row r="16" spans="1:15" s="265" customFormat="1">
      <c r="F16" s="446"/>
      <c r="G16" s="446"/>
      <c r="H16" s="270" t="s">
        <v>10</v>
      </c>
      <c r="I16" s="265" t="s">
        <v>85</v>
      </c>
    </row>
    <row r="17" spans="1:15" s="265" customFormat="1">
      <c r="B17" s="508"/>
      <c r="C17" s="508"/>
      <c r="F17" s="302"/>
      <c r="G17" s="302"/>
      <c r="H17" s="270" t="s">
        <v>12</v>
      </c>
      <c r="I17" s="265" t="s">
        <v>86</v>
      </c>
    </row>
    <row r="18" spans="1:15" s="265" customFormat="1">
      <c r="H18" s="270" t="s">
        <v>14</v>
      </c>
      <c r="I18" s="265" t="s">
        <v>15</v>
      </c>
    </row>
    <row r="19" spans="1:15" s="265" customFormat="1">
      <c r="F19" s="446"/>
      <c r="G19" s="446"/>
      <c r="H19" s="258" t="s">
        <v>87</v>
      </c>
      <c r="I19" s="265" t="s">
        <v>88</v>
      </c>
    </row>
    <row r="20" spans="1:15" s="265" customFormat="1">
      <c r="F20" s="446"/>
      <c r="G20" s="446"/>
      <c r="H20" s="270" t="s">
        <v>16</v>
      </c>
      <c r="I20" s="265" t="s">
        <v>89</v>
      </c>
    </row>
    <row r="21" spans="1:15" s="265" customFormat="1">
      <c r="F21" s="446"/>
      <c r="G21" s="446"/>
      <c r="H21" s="270" t="s">
        <v>18</v>
      </c>
      <c r="I21" s="265" t="s">
        <v>19</v>
      </c>
    </row>
    <row r="22" spans="1:15" s="265" customFormat="1">
      <c r="F22" s="446"/>
      <c r="G22" s="446"/>
      <c r="H22" s="270" t="s">
        <v>20</v>
      </c>
      <c r="I22" s="282" t="s">
        <v>90</v>
      </c>
      <c r="J22" s="282"/>
      <c r="L22" s="282"/>
    </row>
    <row r="23" spans="1:15" s="265" customFormat="1" ht="15.75" customHeight="1">
      <c r="D23" s="1047"/>
      <c r="E23" s="277"/>
      <c r="F23" s="283"/>
      <c r="G23" s="283"/>
      <c r="H23" s="270" t="s">
        <v>22</v>
      </c>
      <c r="I23" s="265" t="s">
        <v>91</v>
      </c>
    </row>
    <row r="24" spans="1:15" s="265" customFormat="1" ht="12.75" customHeight="1">
      <c r="D24" s="1047"/>
      <c r="E24" s="277"/>
      <c r="F24" s="283"/>
      <c r="G24" s="283"/>
      <c r="H24" s="270" t="s">
        <v>24</v>
      </c>
      <c r="I24" s="265" t="s">
        <v>92</v>
      </c>
    </row>
    <row r="25" spans="1:15" s="265" customFormat="1" ht="12.75" customHeight="1">
      <c r="D25" s="277"/>
      <c r="E25" s="277"/>
      <c r="F25" s="283"/>
      <c r="G25" s="283"/>
      <c r="H25" s="270" t="s">
        <v>26</v>
      </c>
      <c r="I25" s="265" t="s">
        <v>93</v>
      </c>
    </row>
    <row r="26" spans="1:15" s="265" customFormat="1" ht="12.75" customHeight="1">
      <c r="D26" s="277"/>
      <c r="E26" s="277"/>
      <c r="F26" s="283"/>
      <c r="G26" s="283"/>
      <c r="H26" s="270" t="s">
        <v>28</v>
      </c>
      <c r="I26" s="265" t="s">
        <v>94</v>
      </c>
    </row>
    <row r="27" spans="1:15" s="265" customFormat="1" ht="14.25">
      <c r="A27" s="1048" t="s">
        <v>95</v>
      </c>
      <c r="B27" s="1046"/>
      <c r="C27" s="1046"/>
      <c r="D27" s="1046"/>
      <c r="E27" s="1046"/>
      <c r="F27" s="1046"/>
      <c r="G27" s="1046"/>
      <c r="H27" s="1046"/>
      <c r="I27" s="1046"/>
      <c r="J27" s="1046"/>
      <c r="K27" s="1046"/>
      <c r="L27" s="1046"/>
      <c r="M27" s="1046"/>
      <c r="N27" s="1046"/>
      <c r="O27" s="1049"/>
    </row>
    <row r="28" spans="1:15" s="265" customFormat="1" ht="14.25">
      <c r="A28" s="1037" t="s">
        <v>96</v>
      </c>
      <c r="B28" s="1038"/>
      <c r="C28" s="1038"/>
      <c r="D28" s="1038"/>
      <c r="E28" s="1038"/>
      <c r="F28" s="1038"/>
      <c r="G28" s="1038"/>
      <c r="H28" s="1039"/>
      <c r="I28" s="1040" t="s">
        <v>97</v>
      </c>
      <c r="J28" s="1041"/>
      <c r="K28" s="1041"/>
      <c r="L28" s="1041"/>
      <c r="M28" s="1041"/>
      <c r="N28" s="1041"/>
      <c r="O28" s="1042"/>
    </row>
    <row r="29" spans="1:15" s="265" customFormat="1" ht="12.75" customHeight="1">
      <c r="A29" s="1028" t="s">
        <v>33</v>
      </c>
      <c r="B29" s="1029"/>
      <c r="C29" s="1029"/>
      <c r="D29" s="1029"/>
      <c r="E29" s="1020" t="s">
        <v>34</v>
      </c>
      <c r="F29" s="1020"/>
      <c r="G29" s="1020"/>
      <c r="H29" s="551"/>
      <c r="I29" s="1028" t="s">
        <v>33</v>
      </c>
      <c r="J29" s="1029"/>
      <c r="K29" s="1029"/>
      <c r="L29" s="1029"/>
      <c r="M29" s="1020" t="s">
        <v>35</v>
      </c>
      <c r="N29" s="1020"/>
      <c r="O29" s="1030"/>
    </row>
    <row r="30" spans="1:15" s="265" customFormat="1" ht="12.75" customHeight="1">
      <c r="A30" s="1028" t="s">
        <v>36</v>
      </c>
      <c r="B30" s="1029"/>
      <c r="C30" s="1029"/>
      <c r="D30" s="1029"/>
      <c r="E30" s="1035">
        <v>0</v>
      </c>
      <c r="F30" s="1035"/>
      <c r="G30" s="1035"/>
      <c r="H30" s="551"/>
      <c r="I30" s="1028" t="s">
        <v>36</v>
      </c>
      <c r="J30" s="1029"/>
      <c r="K30" s="1029"/>
      <c r="L30" s="1029"/>
      <c r="M30" s="1035">
        <v>168</v>
      </c>
      <c r="N30" s="1035"/>
      <c r="O30" s="1036"/>
    </row>
    <row r="31" spans="1:15" s="265" customFormat="1" ht="12.75" customHeight="1">
      <c r="A31" s="1028" t="s">
        <v>37</v>
      </c>
      <c r="B31" s="1029"/>
      <c r="C31" s="1029"/>
      <c r="D31" s="1029"/>
      <c r="E31" s="1020" t="s">
        <v>38</v>
      </c>
      <c r="F31" s="1020"/>
      <c r="G31" s="1020"/>
      <c r="H31" s="551"/>
      <c r="I31" s="1028" t="s">
        <v>37</v>
      </c>
      <c r="J31" s="1029"/>
      <c r="K31" s="1029"/>
      <c r="L31" s="1029"/>
      <c r="M31" s="1020" t="s">
        <v>98</v>
      </c>
      <c r="N31" s="1020"/>
      <c r="O31" s="1030"/>
    </row>
    <row r="32" spans="1:15" s="265" customFormat="1" ht="12.75" customHeight="1" thickBot="1">
      <c r="A32" s="1031" t="s">
        <v>40</v>
      </c>
      <c r="B32" s="1032"/>
      <c r="C32" s="1032"/>
      <c r="D32" s="1032"/>
      <c r="E32" s="1033" t="s">
        <v>41</v>
      </c>
      <c r="F32" s="1033"/>
      <c r="G32" s="1033"/>
      <c r="H32" s="543"/>
      <c r="I32" s="1031" t="s">
        <v>40</v>
      </c>
      <c r="J32" s="1032"/>
      <c r="K32" s="1032"/>
      <c r="L32" s="1032"/>
      <c r="M32" s="1033" t="s">
        <v>42</v>
      </c>
      <c r="N32" s="1033"/>
      <c r="O32" s="1034"/>
    </row>
    <row r="33" spans="1:16" s="265" customFormat="1" ht="12.75" customHeight="1">
      <c r="B33" s="282"/>
      <c r="C33" s="282"/>
      <c r="D33" s="277"/>
      <c r="E33" s="277"/>
      <c r="F33" s="283"/>
      <c r="G33" s="283"/>
      <c r="H33" s="283"/>
      <c r="J33" s="558"/>
      <c r="K33" s="558"/>
      <c r="L33" s="558"/>
    </row>
    <row r="34" spans="1:16" s="265" customFormat="1" ht="12.75" customHeight="1">
      <c r="D34" s="277"/>
      <c r="E34" s="277"/>
      <c r="F34" s="1019"/>
      <c r="G34" s="1020"/>
      <c r="H34" s="1020"/>
      <c r="I34" s="1020"/>
      <c r="J34" s="1020"/>
      <c r="K34" s="558"/>
      <c r="L34" s="558"/>
      <c r="M34" s="270"/>
    </row>
    <row r="35" spans="1:16" s="265" customFormat="1" ht="12.75" customHeight="1">
      <c r="D35" s="277"/>
      <c r="E35" s="277"/>
      <c r="F35" s="1019"/>
      <c r="G35" s="1020"/>
      <c r="H35" s="1020"/>
      <c r="I35" s="1020"/>
      <c r="J35" s="1020"/>
      <c r="K35" s="558"/>
      <c r="L35" s="558"/>
      <c r="M35" s="270"/>
    </row>
    <row r="36" spans="1:16" s="265" customFormat="1" ht="12.75" customHeight="1" thickBot="1">
      <c r="D36" s="277"/>
      <c r="E36" s="277"/>
      <c r="F36" s="283"/>
      <c r="G36" s="283"/>
      <c r="J36" s="288"/>
      <c r="K36" s="288"/>
      <c r="L36" s="288"/>
    </row>
    <row r="37" spans="1:16" s="265" customFormat="1" ht="15.75" customHeight="1" thickBot="1">
      <c r="F37" s="1021" t="s">
        <v>43</v>
      </c>
      <c r="G37" s="1022"/>
      <c r="H37" s="1023" t="s">
        <v>44</v>
      </c>
      <c r="I37" s="1024"/>
      <c r="J37" s="1024"/>
      <c r="K37" s="1003"/>
      <c r="L37" s="1003"/>
      <c r="M37" s="1003"/>
      <c r="N37" s="1003"/>
      <c r="O37" s="1025"/>
    </row>
    <row r="38" spans="1:16" s="291" customFormat="1" ht="50.25" customHeight="1" thickBot="1">
      <c r="A38" s="289" t="s">
        <v>45</v>
      </c>
      <c r="B38" s="289" t="s">
        <v>46</v>
      </c>
      <c r="C38" s="290" t="s">
        <v>47</v>
      </c>
      <c r="D38" s="290" t="s">
        <v>48</v>
      </c>
      <c r="E38" s="290" t="s">
        <v>49</v>
      </c>
      <c r="F38" s="290" t="s">
        <v>50</v>
      </c>
      <c r="G38" s="289" t="s">
        <v>51</v>
      </c>
      <c r="H38" s="290" t="s">
        <v>52</v>
      </c>
      <c r="I38" s="289" t="s">
        <v>51</v>
      </c>
      <c r="J38" s="290" t="s">
        <v>53</v>
      </c>
      <c r="K38" s="289" t="s">
        <v>51</v>
      </c>
      <c r="L38" s="290" t="s">
        <v>54</v>
      </c>
      <c r="M38" s="289" t="s">
        <v>51</v>
      </c>
      <c r="N38" s="290" t="s">
        <v>55</v>
      </c>
      <c r="O38" s="289" t="s">
        <v>51</v>
      </c>
    </row>
    <row r="39" spans="1:16" s="557" customFormat="1" ht="39" thickBot="1">
      <c r="A39" s="1014">
        <v>8</v>
      </c>
      <c r="B39" s="1014"/>
      <c r="C39" s="550" t="s">
        <v>99</v>
      </c>
      <c r="D39" s="559" t="s">
        <v>100</v>
      </c>
      <c r="E39" s="560">
        <v>3965</v>
      </c>
      <c r="F39" s="540">
        <f>SUM(E39:E41)*(1-60%)</f>
        <v>1766</v>
      </c>
      <c r="G39" s="1026">
        <f>F39*B39</f>
        <v>0</v>
      </c>
      <c r="H39" s="1026">
        <f>F39*0.0845</f>
        <v>149.227</v>
      </c>
      <c r="I39" s="1026">
        <f>H39*B39</f>
        <v>0</v>
      </c>
      <c r="J39" s="1026">
        <f>F39*0.032</f>
        <v>56.512</v>
      </c>
      <c r="K39" s="1026">
        <f>J39*B39</f>
        <v>0</v>
      </c>
      <c r="L39" s="1026">
        <f>F39*0.0263</f>
        <v>46.445799999999998</v>
      </c>
      <c r="M39" s="1026">
        <f>L39*B39</f>
        <v>0</v>
      </c>
      <c r="N39" s="1026">
        <f>F39*0.0219</f>
        <v>38.675399999999996</v>
      </c>
      <c r="O39" s="1026">
        <f>N39*B39</f>
        <v>0</v>
      </c>
      <c r="P39" s="561"/>
    </row>
    <row r="40" spans="1:16" s="291" customFormat="1" ht="13.5" thickBot="1">
      <c r="A40" s="1015"/>
      <c r="B40" s="1015"/>
      <c r="C40" s="297">
        <v>135900</v>
      </c>
      <c r="D40" s="562" t="s">
        <v>101</v>
      </c>
      <c r="E40" s="491">
        <v>375</v>
      </c>
      <c r="F40" s="31" t="s">
        <v>35</v>
      </c>
      <c r="G40" s="1012"/>
      <c r="H40" s="1012"/>
      <c r="I40" s="1012"/>
      <c r="J40" s="1012"/>
      <c r="K40" s="1012"/>
      <c r="L40" s="1012"/>
      <c r="M40" s="1012"/>
      <c r="N40" s="1012"/>
      <c r="O40" s="1012"/>
    </row>
    <row r="41" spans="1:16" s="291" customFormat="1" ht="13.5" thickBot="1">
      <c r="A41" s="1016"/>
      <c r="B41" s="1017"/>
      <c r="C41" s="297" t="s">
        <v>56</v>
      </c>
      <c r="D41" s="562" t="s">
        <v>57</v>
      </c>
      <c r="E41" s="491">
        <v>75</v>
      </c>
      <c r="F41" s="300" t="s">
        <v>35</v>
      </c>
      <c r="G41" s="1013"/>
      <c r="H41" s="1027"/>
      <c r="I41" s="1013"/>
      <c r="J41" s="1027"/>
      <c r="K41" s="1013"/>
      <c r="L41" s="1027"/>
      <c r="M41" s="1013"/>
      <c r="N41" s="1027"/>
      <c r="O41" s="1013"/>
    </row>
    <row r="42" spans="1:16" s="519" customFormat="1" ht="13.5" thickBot="1">
      <c r="A42" s="563"/>
      <c r="B42" s="308"/>
      <c r="C42" s="545"/>
      <c r="D42" s="537"/>
      <c r="E42" s="564"/>
      <c r="F42" s="312"/>
      <c r="G42" s="308"/>
      <c r="H42" s="314"/>
      <c r="I42" s="308"/>
      <c r="J42" s="314"/>
      <c r="K42" s="313"/>
      <c r="L42" s="314"/>
      <c r="M42" s="308"/>
      <c r="N42" s="314"/>
      <c r="O42" s="313"/>
    </row>
    <row r="43" spans="1:16" s="557" customFormat="1" ht="39" thickBot="1">
      <c r="A43" s="1014" t="s">
        <v>102</v>
      </c>
      <c r="B43" s="1014"/>
      <c r="C43" s="550" t="s">
        <v>99</v>
      </c>
      <c r="D43" s="559" t="s">
        <v>100</v>
      </c>
      <c r="E43" s="560">
        <v>3965</v>
      </c>
      <c r="F43" s="536">
        <f>SUM(E43:E45)*(1-60%)</f>
        <v>1766</v>
      </c>
      <c r="G43" s="1011">
        <f>F43*B43</f>
        <v>0</v>
      </c>
      <c r="H43" s="1011">
        <f>F43*0.0845+M30/12</f>
        <v>163.227</v>
      </c>
      <c r="I43" s="1011">
        <f>H43*B43</f>
        <v>0</v>
      </c>
      <c r="J43" s="1011">
        <f>F43*0.032+M30/12</f>
        <v>70.512</v>
      </c>
      <c r="K43" s="1011">
        <f>J43*B43</f>
        <v>0</v>
      </c>
      <c r="L43" s="1011">
        <f>F43*0.0263+M30/12</f>
        <v>60.445799999999998</v>
      </c>
      <c r="M43" s="1011">
        <f>L43*B43</f>
        <v>0</v>
      </c>
      <c r="N43" s="1011">
        <f>F43*0.0219+M30/12</f>
        <v>52.675399999999996</v>
      </c>
      <c r="O43" s="1011">
        <f>N43*B43</f>
        <v>0</v>
      </c>
      <c r="P43" s="561"/>
    </row>
    <row r="44" spans="1:16" s="291" customFormat="1" ht="13.5" thickBot="1">
      <c r="A44" s="1015"/>
      <c r="B44" s="1015"/>
      <c r="C44" s="297">
        <v>135900</v>
      </c>
      <c r="D44" s="562" t="s">
        <v>101</v>
      </c>
      <c r="E44" s="491">
        <v>375</v>
      </c>
      <c r="F44" s="300" t="s">
        <v>35</v>
      </c>
      <c r="G44" s="1012"/>
      <c r="H44" s="1012"/>
      <c r="I44" s="1012"/>
      <c r="J44" s="1012"/>
      <c r="K44" s="1012"/>
      <c r="L44" s="1012"/>
      <c r="M44" s="1012"/>
      <c r="N44" s="1012"/>
      <c r="O44" s="1012"/>
    </row>
    <row r="45" spans="1:16" s="291" customFormat="1" ht="13.5" thickBot="1">
      <c r="A45" s="1016"/>
      <c r="B45" s="1017"/>
      <c r="C45" s="297" t="s">
        <v>56</v>
      </c>
      <c r="D45" s="562" t="s">
        <v>57</v>
      </c>
      <c r="E45" s="491">
        <v>75</v>
      </c>
      <c r="F45" s="300" t="s">
        <v>35</v>
      </c>
      <c r="G45" s="1018"/>
      <c r="H45" s="1013"/>
      <c r="I45" s="1013"/>
      <c r="J45" s="1013"/>
      <c r="K45" s="1013"/>
      <c r="L45" s="1013"/>
      <c r="M45" s="1013"/>
      <c r="N45" s="1013"/>
      <c r="O45" s="1013"/>
    </row>
    <row r="46" spans="1:16" s="519" customFormat="1" ht="15.6" customHeight="1" thickBot="1">
      <c r="A46" s="1002" t="s">
        <v>59</v>
      </c>
      <c r="B46" s="1003"/>
      <c r="C46" s="1003"/>
      <c r="D46" s="1003"/>
      <c r="E46" s="1003"/>
      <c r="F46" s="1004"/>
      <c r="G46" s="1004"/>
      <c r="H46" s="1004"/>
      <c r="I46" s="1004"/>
      <c r="J46" s="1004"/>
      <c r="K46" s="1004"/>
      <c r="L46" s="1004"/>
      <c r="M46" s="1004"/>
      <c r="N46" s="1004"/>
      <c r="O46" s="1005"/>
    </row>
    <row r="47" spans="1:16" s="291" customFormat="1" ht="13.5" thickBot="1">
      <c r="A47" s="1006"/>
      <c r="B47" s="319"/>
      <c r="C47" s="565" t="s">
        <v>103</v>
      </c>
      <c r="D47" s="298" t="s">
        <v>104</v>
      </c>
      <c r="E47" s="491">
        <v>129.99</v>
      </c>
      <c r="F47" s="322">
        <f t="shared" ref="F47:F72" si="0">E47*(1-20%)</f>
        <v>103.99200000000002</v>
      </c>
      <c r="G47" s="322">
        <f t="shared" ref="G47:G72" si="1">F47*B47</f>
        <v>0</v>
      </c>
      <c r="H47" s="566">
        <f t="shared" ref="H47:H72" si="2">F47*0.0845</f>
        <v>8.7873240000000017</v>
      </c>
      <c r="I47" s="566">
        <f t="shared" ref="I47:I72" si="3">H47*B47</f>
        <v>0</v>
      </c>
      <c r="J47" s="566">
        <f t="shared" ref="J47:J72" si="4">F47*0.032</f>
        <v>3.3277440000000005</v>
      </c>
      <c r="K47" s="566">
        <f t="shared" ref="K47:K72" si="5">J47*B47</f>
        <v>0</v>
      </c>
      <c r="L47" s="567">
        <f t="shared" ref="L47:L72" si="6">F47*0.0263</f>
        <v>2.7349896000000005</v>
      </c>
      <c r="M47" s="567">
        <f t="shared" ref="M47:M72" si="7">L47*B47</f>
        <v>0</v>
      </c>
      <c r="N47" s="567">
        <f t="shared" ref="N47:N72" si="8">F47*0.0219</f>
        <v>2.2774248000000004</v>
      </c>
      <c r="O47" s="567">
        <f t="shared" ref="O47:O72" si="9">N47*B47</f>
        <v>0</v>
      </c>
      <c r="P47" s="568"/>
    </row>
    <row r="48" spans="1:16" s="291" customFormat="1" ht="26.25" thickBot="1">
      <c r="A48" s="1006"/>
      <c r="B48" s="541"/>
      <c r="C48" s="297" t="s">
        <v>105</v>
      </c>
      <c r="D48" s="298" t="s">
        <v>106</v>
      </c>
      <c r="E48" s="491">
        <v>399</v>
      </c>
      <c r="F48" s="343">
        <f t="shared" si="0"/>
        <v>319.20000000000005</v>
      </c>
      <c r="G48" s="343">
        <f t="shared" si="1"/>
        <v>0</v>
      </c>
      <c r="H48" s="566">
        <f t="shared" si="2"/>
        <v>26.972400000000004</v>
      </c>
      <c r="I48" s="566">
        <f t="shared" si="3"/>
        <v>0</v>
      </c>
      <c r="J48" s="566">
        <f t="shared" si="4"/>
        <v>10.214400000000001</v>
      </c>
      <c r="K48" s="566">
        <f t="shared" si="5"/>
        <v>0</v>
      </c>
      <c r="L48" s="567">
        <f t="shared" si="6"/>
        <v>8.3949600000000011</v>
      </c>
      <c r="M48" s="567">
        <f t="shared" si="7"/>
        <v>0</v>
      </c>
      <c r="N48" s="567">
        <f t="shared" si="8"/>
        <v>6.9904800000000007</v>
      </c>
      <c r="O48" s="567">
        <f t="shared" si="9"/>
        <v>0</v>
      </c>
      <c r="P48" s="568"/>
    </row>
    <row r="49" spans="1:16" s="291" customFormat="1" ht="13.5" thickBot="1">
      <c r="A49" s="1006"/>
      <c r="B49" s="319"/>
      <c r="C49" s="297" t="s">
        <v>107</v>
      </c>
      <c r="D49" s="298" t="s">
        <v>108</v>
      </c>
      <c r="E49" s="491">
        <v>250</v>
      </c>
      <c r="F49" s="41">
        <f t="shared" si="0"/>
        <v>200</v>
      </c>
      <c r="G49" s="41">
        <f t="shared" si="1"/>
        <v>0</v>
      </c>
      <c r="H49" s="396">
        <f t="shared" si="2"/>
        <v>16.900000000000002</v>
      </c>
      <c r="I49" s="396">
        <f t="shared" si="3"/>
        <v>0</v>
      </c>
      <c r="J49" s="396">
        <f t="shared" si="4"/>
        <v>6.4</v>
      </c>
      <c r="K49" s="396">
        <f t="shared" si="5"/>
        <v>0</v>
      </c>
      <c r="L49" s="397">
        <f t="shared" si="6"/>
        <v>5.26</v>
      </c>
      <c r="M49" s="397">
        <f t="shared" si="7"/>
        <v>0</v>
      </c>
      <c r="N49" s="397">
        <f t="shared" si="8"/>
        <v>4.38</v>
      </c>
      <c r="O49" s="397">
        <f t="shared" si="9"/>
        <v>0</v>
      </c>
      <c r="P49" s="568"/>
    </row>
    <row r="50" spans="1:16" s="291" customFormat="1" ht="13.5" thickBot="1">
      <c r="A50" s="1006"/>
      <c r="B50" s="319"/>
      <c r="C50" s="297" t="s">
        <v>109</v>
      </c>
      <c r="D50" s="298" t="s">
        <v>110</v>
      </c>
      <c r="E50" s="491">
        <v>400</v>
      </c>
      <c r="F50" s="322">
        <f t="shared" si="0"/>
        <v>320</v>
      </c>
      <c r="G50" s="322">
        <f t="shared" si="1"/>
        <v>0</v>
      </c>
      <c r="H50" s="566">
        <f t="shared" si="2"/>
        <v>27.040000000000003</v>
      </c>
      <c r="I50" s="566">
        <f t="shared" si="3"/>
        <v>0</v>
      </c>
      <c r="J50" s="566">
        <f t="shared" si="4"/>
        <v>10.24</v>
      </c>
      <c r="K50" s="566">
        <f t="shared" si="5"/>
        <v>0</v>
      </c>
      <c r="L50" s="567">
        <f t="shared" si="6"/>
        <v>8.4160000000000004</v>
      </c>
      <c r="M50" s="567">
        <f t="shared" si="7"/>
        <v>0</v>
      </c>
      <c r="N50" s="567">
        <f t="shared" si="8"/>
        <v>7.008</v>
      </c>
      <c r="O50" s="567">
        <f t="shared" si="9"/>
        <v>0</v>
      </c>
      <c r="P50" s="568"/>
    </row>
    <row r="51" spans="1:16" s="291" customFormat="1" ht="13.5" thickBot="1">
      <c r="A51" s="1006"/>
      <c r="B51" s="319"/>
      <c r="C51" s="297" t="s">
        <v>111</v>
      </c>
      <c r="D51" s="298" t="s">
        <v>112</v>
      </c>
      <c r="E51" s="491">
        <v>499</v>
      </c>
      <c r="F51" s="322">
        <f t="shared" si="0"/>
        <v>399.20000000000005</v>
      </c>
      <c r="G51" s="322">
        <f t="shared" si="1"/>
        <v>0</v>
      </c>
      <c r="H51" s="566">
        <f t="shared" si="2"/>
        <v>33.732400000000005</v>
      </c>
      <c r="I51" s="566">
        <f t="shared" si="3"/>
        <v>0</v>
      </c>
      <c r="J51" s="566">
        <f t="shared" si="4"/>
        <v>12.774400000000002</v>
      </c>
      <c r="K51" s="566">
        <f t="shared" si="5"/>
        <v>0</v>
      </c>
      <c r="L51" s="567">
        <f t="shared" si="6"/>
        <v>10.498960000000002</v>
      </c>
      <c r="M51" s="567">
        <f t="shared" si="7"/>
        <v>0</v>
      </c>
      <c r="N51" s="567">
        <f t="shared" si="8"/>
        <v>8.7424800000000005</v>
      </c>
      <c r="O51" s="567">
        <f t="shared" si="9"/>
        <v>0</v>
      </c>
      <c r="P51" s="568"/>
    </row>
    <row r="52" spans="1:16" s="291" customFormat="1" ht="13.5" thickBot="1">
      <c r="A52" s="1006"/>
      <c r="B52" s="319"/>
      <c r="C52" s="297" t="s">
        <v>77</v>
      </c>
      <c r="D52" s="298" t="s">
        <v>78</v>
      </c>
      <c r="E52" s="491">
        <v>329</v>
      </c>
      <c r="F52" s="41">
        <f t="shared" si="0"/>
        <v>263.2</v>
      </c>
      <c r="G52" s="41">
        <f t="shared" si="1"/>
        <v>0</v>
      </c>
      <c r="H52" s="396">
        <f t="shared" si="2"/>
        <v>22.240400000000001</v>
      </c>
      <c r="I52" s="396">
        <f t="shared" si="3"/>
        <v>0</v>
      </c>
      <c r="J52" s="396">
        <f t="shared" si="4"/>
        <v>8.4223999999999997</v>
      </c>
      <c r="K52" s="396">
        <f t="shared" si="5"/>
        <v>0</v>
      </c>
      <c r="L52" s="397">
        <f t="shared" si="6"/>
        <v>6.9221599999999999</v>
      </c>
      <c r="M52" s="397">
        <f t="shared" si="7"/>
        <v>0</v>
      </c>
      <c r="N52" s="397">
        <f t="shared" si="8"/>
        <v>5.7640799999999999</v>
      </c>
      <c r="O52" s="397">
        <f t="shared" si="9"/>
        <v>0</v>
      </c>
      <c r="P52" s="568"/>
    </row>
    <row r="53" spans="1:16" s="291" customFormat="1" ht="13.5" thickBot="1">
      <c r="A53" s="1006"/>
      <c r="B53" s="541"/>
      <c r="C53" s="297" t="s">
        <v>113</v>
      </c>
      <c r="D53" s="298" t="s">
        <v>114</v>
      </c>
      <c r="E53" s="491">
        <v>220</v>
      </c>
      <c r="F53" s="343">
        <f t="shared" si="0"/>
        <v>176</v>
      </c>
      <c r="G53" s="343">
        <f t="shared" si="1"/>
        <v>0</v>
      </c>
      <c r="H53" s="566">
        <f t="shared" si="2"/>
        <v>14.872000000000002</v>
      </c>
      <c r="I53" s="566">
        <f t="shared" si="3"/>
        <v>0</v>
      </c>
      <c r="J53" s="566">
        <f t="shared" si="4"/>
        <v>5.6319999999999997</v>
      </c>
      <c r="K53" s="566">
        <f t="shared" si="5"/>
        <v>0</v>
      </c>
      <c r="L53" s="567">
        <f t="shared" si="6"/>
        <v>4.6288</v>
      </c>
      <c r="M53" s="567">
        <f t="shared" si="7"/>
        <v>0</v>
      </c>
      <c r="N53" s="567">
        <f t="shared" si="8"/>
        <v>3.8544</v>
      </c>
      <c r="O53" s="567">
        <f t="shared" si="9"/>
        <v>0</v>
      </c>
      <c r="P53" s="568"/>
    </row>
    <row r="54" spans="1:16" s="291" customFormat="1" ht="13.5" thickBot="1">
      <c r="A54" s="1006"/>
      <c r="B54" s="541"/>
      <c r="C54" s="297" t="s">
        <v>115</v>
      </c>
      <c r="D54" s="298" t="s">
        <v>116</v>
      </c>
      <c r="E54" s="491">
        <v>307</v>
      </c>
      <c r="F54" s="343">
        <f t="shared" si="0"/>
        <v>245.60000000000002</v>
      </c>
      <c r="G54" s="343">
        <f t="shared" si="1"/>
        <v>0</v>
      </c>
      <c r="H54" s="566">
        <f t="shared" si="2"/>
        <v>20.753200000000003</v>
      </c>
      <c r="I54" s="566">
        <f t="shared" si="3"/>
        <v>0</v>
      </c>
      <c r="J54" s="566">
        <f t="shared" si="4"/>
        <v>7.8592000000000013</v>
      </c>
      <c r="K54" s="566">
        <f t="shared" si="5"/>
        <v>0</v>
      </c>
      <c r="L54" s="567">
        <f t="shared" si="6"/>
        <v>6.4592800000000006</v>
      </c>
      <c r="M54" s="567">
        <f t="shared" si="7"/>
        <v>0</v>
      </c>
      <c r="N54" s="567">
        <f t="shared" si="8"/>
        <v>5.3786400000000008</v>
      </c>
      <c r="O54" s="567">
        <f t="shared" si="9"/>
        <v>0</v>
      </c>
      <c r="P54" s="568"/>
    </row>
    <row r="55" spans="1:16" s="291" customFormat="1" ht="13.5" thickBot="1">
      <c r="A55" s="1006"/>
      <c r="B55" s="541"/>
      <c r="C55" s="297" t="s">
        <v>117</v>
      </c>
      <c r="D55" s="298" t="s">
        <v>118</v>
      </c>
      <c r="E55" s="491">
        <v>934</v>
      </c>
      <c r="F55" s="343">
        <f t="shared" si="0"/>
        <v>747.2</v>
      </c>
      <c r="G55" s="343">
        <f t="shared" si="1"/>
        <v>0</v>
      </c>
      <c r="H55" s="566">
        <f t="shared" si="2"/>
        <v>63.138400000000011</v>
      </c>
      <c r="I55" s="566">
        <f t="shared" si="3"/>
        <v>0</v>
      </c>
      <c r="J55" s="566">
        <f t="shared" si="4"/>
        <v>23.910400000000003</v>
      </c>
      <c r="K55" s="566">
        <f t="shared" si="5"/>
        <v>0</v>
      </c>
      <c r="L55" s="567">
        <f t="shared" si="6"/>
        <v>19.65136</v>
      </c>
      <c r="M55" s="567">
        <f t="shared" si="7"/>
        <v>0</v>
      </c>
      <c r="N55" s="567">
        <f t="shared" si="8"/>
        <v>16.363680000000002</v>
      </c>
      <c r="O55" s="567">
        <f t="shared" si="9"/>
        <v>0</v>
      </c>
      <c r="P55" s="568"/>
    </row>
    <row r="56" spans="1:16" s="291" customFormat="1" ht="13.5" thickBot="1">
      <c r="A56" s="1006"/>
      <c r="B56" s="319"/>
      <c r="C56" s="297" t="s">
        <v>119</v>
      </c>
      <c r="D56" s="298" t="s">
        <v>120</v>
      </c>
      <c r="E56" s="491">
        <v>222.6</v>
      </c>
      <c r="F56" s="322">
        <f t="shared" si="0"/>
        <v>178.08</v>
      </c>
      <c r="G56" s="322">
        <f t="shared" si="1"/>
        <v>0</v>
      </c>
      <c r="H56" s="566">
        <f t="shared" si="2"/>
        <v>15.047760000000002</v>
      </c>
      <c r="I56" s="566">
        <f t="shared" si="3"/>
        <v>0</v>
      </c>
      <c r="J56" s="566">
        <f t="shared" si="4"/>
        <v>5.6985600000000005</v>
      </c>
      <c r="K56" s="566">
        <f t="shared" si="5"/>
        <v>0</v>
      </c>
      <c r="L56" s="567">
        <f t="shared" si="6"/>
        <v>4.6835040000000001</v>
      </c>
      <c r="M56" s="567">
        <f t="shared" si="7"/>
        <v>0</v>
      </c>
      <c r="N56" s="567">
        <f t="shared" si="8"/>
        <v>3.8999520000000003</v>
      </c>
      <c r="O56" s="567">
        <f t="shared" si="9"/>
        <v>0</v>
      </c>
      <c r="P56" s="568"/>
    </row>
    <row r="57" spans="1:16" s="291" customFormat="1" ht="13.5" thickBot="1">
      <c r="A57" s="1006"/>
      <c r="B57" s="319"/>
      <c r="C57" s="297" t="s">
        <v>121</v>
      </c>
      <c r="D57" s="298" t="s">
        <v>122</v>
      </c>
      <c r="E57" s="491">
        <v>263</v>
      </c>
      <c r="F57" s="41">
        <f t="shared" si="0"/>
        <v>210.4</v>
      </c>
      <c r="G57" s="41">
        <f t="shared" si="1"/>
        <v>0</v>
      </c>
      <c r="H57" s="396">
        <f t="shared" si="2"/>
        <v>17.7788</v>
      </c>
      <c r="I57" s="396">
        <f t="shared" si="3"/>
        <v>0</v>
      </c>
      <c r="J57" s="396">
        <f t="shared" si="4"/>
        <v>6.7328000000000001</v>
      </c>
      <c r="K57" s="396">
        <f t="shared" si="5"/>
        <v>0</v>
      </c>
      <c r="L57" s="397">
        <f t="shared" si="6"/>
        <v>5.5335200000000002</v>
      </c>
      <c r="M57" s="397">
        <f t="shared" si="7"/>
        <v>0</v>
      </c>
      <c r="N57" s="397">
        <f t="shared" si="8"/>
        <v>4.6077599999999999</v>
      </c>
      <c r="O57" s="397">
        <f t="shared" si="9"/>
        <v>0</v>
      </c>
      <c r="P57" s="568"/>
    </row>
    <row r="58" spans="1:16" s="291" customFormat="1" ht="13.5" thickBot="1">
      <c r="A58" s="1006"/>
      <c r="B58" s="319"/>
      <c r="C58" s="297" t="s">
        <v>123</v>
      </c>
      <c r="D58" s="298" t="s">
        <v>124</v>
      </c>
      <c r="E58" s="491">
        <v>308</v>
      </c>
      <c r="F58" s="322">
        <f t="shared" si="0"/>
        <v>246.4</v>
      </c>
      <c r="G58" s="322">
        <f t="shared" si="1"/>
        <v>0</v>
      </c>
      <c r="H58" s="566">
        <f t="shared" si="2"/>
        <v>20.820800000000002</v>
      </c>
      <c r="I58" s="566">
        <f t="shared" si="3"/>
        <v>0</v>
      </c>
      <c r="J58" s="566">
        <f t="shared" si="4"/>
        <v>7.8848000000000003</v>
      </c>
      <c r="K58" s="566">
        <f t="shared" si="5"/>
        <v>0</v>
      </c>
      <c r="L58" s="567">
        <f t="shared" si="6"/>
        <v>6.4803199999999999</v>
      </c>
      <c r="M58" s="567">
        <f t="shared" si="7"/>
        <v>0</v>
      </c>
      <c r="N58" s="567">
        <f t="shared" si="8"/>
        <v>5.3961600000000001</v>
      </c>
      <c r="O58" s="567">
        <f t="shared" si="9"/>
        <v>0</v>
      </c>
      <c r="P58" s="568"/>
    </row>
    <row r="59" spans="1:16" s="291" customFormat="1" ht="13.5" thickBot="1">
      <c r="A59" s="1006"/>
      <c r="B59" s="319"/>
      <c r="C59" s="297" t="s">
        <v>125</v>
      </c>
      <c r="D59" s="298" t="s">
        <v>126</v>
      </c>
      <c r="E59" s="491">
        <v>136</v>
      </c>
      <c r="F59" s="322">
        <f t="shared" si="0"/>
        <v>108.80000000000001</v>
      </c>
      <c r="G59" s="322">
        <f t="shared" si="1"/>
        <v>0</v>
      </c>
      <c r="H59" s="566">
        <f t="shared" si="2"/>
        <v>9.1936000000000018</v>
      </c>
      <c r="I59" s="566">
        <f t="shared" si="3"/>
        <v>0</v>
      </c>
      <c r="J59" s="566">
        <f t="shared" si="4"/>
        <v>3.4816000000000003</v>
      </c>
      <c r="K59" s="566">
        <f t="shared" si="5"/>
        <v>0</v>
      </c>
      <c r="L59" s="567">
        <f t="shared" si="6"/>
        <v>2.8614400000000004</v>
      </c>
      <c r="M59" s="567">
        <f t="shared" si="7"/>
        <v>0</v>
      </c>
      <c r="N59" s="567">
        <f t="shared" si="8"/>
        <v>2.3827200000000004</v>
      </c>
      <c r="O59" s="567">
        <f t="shared" si="9"/>
        <v>0</v>
      </c>
      <c r="P59" s="568"/>
    </row>
    <row r="60" spans="1:16" s="291" customFormat="1" ht="13.5" thickBot="1">
      <c r="A60" s="1006"/>
      <c r="B60" s="319"/>
      <c r="C60" s="297" t="s">
        <v>127</v>
      </c>
      <c r="D60" s="298" t="s">
        <v>128</v>
      </c>
      <c r="E60" s="491">
        <v>139</v>
      </c>
      <c r="F60" s="322">
        <f t="shared" si="0"/>
        <v>111.2</v>
      </c>
      <c r="G60" s="322">
        <f t="shared" si="1"/>
        <v>0</v>
      </c>
      <c r="H60" s="566">
        <f t="shared" si="2"/>
        <v>9.3964000000000016</v>
      </c>
      <c r="I60" s="566">
        <f t="shared" si="3"/>
        <v>0</v>
      </c>
      <c r="J60" s="566">
        <f t="shared" si="4"/>
        <v>3.5584000000000002</v>
      </c>
      <c r="K60" s="566">
        <f t="shared" si="5"/>
        <v>0</v>
      </c>
      <c r="L60" s="567">
        <f t="shared" si="6"/>
        <v>2.92456</v>
      </c>
      <c r="M60" s="567">
        <f t="shared" si="7"/>
        <v>0</v>
      </c>
      <c r="N60" s="567">
        <f t="shared" si="8"/>
        <v>2.4352800000000001</v>
      </c>
      <c r="O60" s="567">
        <f t="shared" si="9"/>
        <v>0</v>
      </c>
      <c r="P60" s="568"/>
    </row>
    <row r="61" spans="1:16" s="291" customFormat="1" ht="13.5" thickBot="1">
      <c r="A61" s="1006"/>
      <c r="B61" s="319"/>
      <c r="C61" s="297" t="s">
        <v>129</v>
      </c>
      <c r="D61" s="298" t="s">
        <v>130</v>
      </c>
      <c r="E61" s="491">
        <v>785</v>
      </c>
      <c r="F61" s="322">
        <f t="shared" si="0"/>
        <v>628</v>
      </c>
      <c r="G61" s="41">
        <f t="shared" si="1"/>
        <v>0</v>
      </c>
      <c r="H61" s="566">
        <f t="shared" si="2"/>
        <v>53.066000000000003</v>
      </c>
      <c r="I61" s="396">
        <f t="shared" si="3"/>
        <v>0</v>
      </c>
      <c r="J61" s="566">
        <f t="shared" si="4"/>
        <v>20.096</v>
      </c>
      <c r="K61" s="396">
        <f t="shared" si="5"/>
        <v>0</v>
      </c>
      <c r="L61" s="567">
        <f t="shared" si="6"/>
        <v>16.516400000000001</v>
      </c>
      <c r="M61" s="397">
        <f t="shared" si="7"/>
        <v>0</v>
      </c>
      <c r="N61" s="567">
        <f t="shared" si="8"/>
        <v>13.7532</v>
      </c>
      <c r="O61" s="397">
        <f t="shared" si="9"/>
        <v>0</v>
      </c>
      <c r="P61" s="568"/>
    </row>
    <row r="62" spans="1:16" s="291" customFormat="1" ht="13.5" thickBot="1">
      <c r="A62" s="1006"/>
      <c r="B62" s="541"/>
      <c r="C62" s="297" t="s">
        <v>131</v>
      </c>
      <c r="D62" s="298" t="s">
        <v>132</v>
      </c>
      <c r="E62" s="491">
        <v>821</v>
      </c>
      <c r="F62" s="343">
        <f t="shared" si="0"/>
        <v>656.80000000000007</v>
      </c>
      <c r="G62" s="343">
        <f t="shared" si="1"/>
        <v>0</v>
      </c>
      <c r="H62" s="566">
        <f t="shared" si="2"/>
        <v>55.499600000000008</v>
      </c>
      <c r="I62" s="566">
        <f t="shared" si="3"/>
        <v>0</v>
      </c>
      <c r="J62" s="566">
        <f t="shared" si="4"/>
        <v>21.017600000000002</v>
      </c>
      <c r="K62" s="566">
        <f t="shared" si="5"/>
        <v>0</v>
      </c>
      <c r="L62" s="567">
        <f t="shared" si="6"/>
        <v>17.273840000000003</v>
      </c>
      <c r="M62" s="567">
        <f t="shared" si="7"/>
        <v>0</v>
      </c>
      <c r="N62" s="567">
        <f t="shared" si="8"/>
        <v>14.383920000000002</v>
      </c>
      <c r="O62" s="567">
        <f t="shared" si="9"/>
        <v>0</v>
      </c>
      <c r="P62" s="568"/>
    </row>
    <row r="63" spans="1:16" s="291" customFormat="1" ht="13.5" thickBot="1">
      <c r="A63" s="1006"/>
      <c r="B63" s="541"/>
      <c r="C63" s="297" t="s">
        <v>133</v>
      </c>
      <c r="D63" s="298" t="s">
        <v>134</v>
      </c>
      <c r="E63" s="491">
        <v>690</v>
      </c>
      <c r="F63" s="343">
        <f t="shared" si="0"/>
        <v>552</v>
      </c>
      <c r="G63" s="343">
        <f t="shared" si="1"/>
        <v>0</v>
      </c>
      <c r="H63" s="566">
        <f t="shared" si="2"/>
        <v>46.644000000000005</v>
      </c>
      <c r="I63" s="566">
        <f t="shared" si="3"/>
        <v>0</v>
      </c>
      <c r="J63" s="566">
        <f t="shared" si="4"/>
        <v>17.664000000000001</v>
      </c>
      <c r="K63" s="566">
        <f t="shared" si="5"/>
        <v>0</v>
      </c>
      <c r="L63" s="567">
        <f t="shared" si="6"/>
        <v>14.5176</v>
      </c>
      <c r="M63" s="567">
        <f t="shared" si="7"/>
        <v>0</v>
      </c>
      <c r="N63" s="567">
        <f t="shared" si="8"/>
        <v>12.088799999999999</v>
      </c>
      <c r="O63" s="567">
        <f t="shared" si="9"/>
        <v>0</v>
      </c>
      <c r="P63" s="568"/>
    </row>
    <row r="64" spans="1:16" s="291" customFormat="1" ht="13.5" thickBot="1">
      <c r="A64" s="1006"/>
      <c r="B64" s="319"/>
      <c r="C64" s="297" t="s">
        <v>135</v>
      </c>
      <c r="D64" s="298" t="s">
        <v>136</v>
      </c>
      <c r="E64" s="491">
        <v>191</v>
      </c>
      <c r="F64" s="322">
        <f t="shared" si="0"/>
        <v>152.80000000000001</v>
      </c>
      <c r="G64" s="322">
        <f t="shared" si="1"/>
        <v>0</v>
      </c>
      <c r="H64" s="566">
        <f t="shared" si="2"/>
        <v>12.911600000000002</v>
      </c>
      <c r="I64" s="566">
        <f t="shared" si="3"/>
        <v>0</v>
      </c>
      <c r="J64" s="566">
        <f t="shared" si="4"/>
        <v>4.8896000000000006</v>
      </c>
      <c r="K64" s="566">
        <f t="shared" si="5"/>
        <v>0</v>
      </c>
      <c r="L64" s="567">
        <f t="shared" si="6"/>
        <v>4.0186400000000004</v>
      </c>
      <c r="M64" s="567">
        <f t="shared" si="7"/>
        <v>0</v>
      </c>
      <c r="N64" s="567">
        <f t="shared" si="8"/>
        <v>3.34632</v>
      </c>
      <c r="O64" s="567">
        <f t="shared" si="9"/>
        <v>0</v>
      </c>
      <c r="P64" s="568"/>
    </row>
    <row r="65" spans="1:16" s="291" customFormat="1" ht="33.75" customHeight="1" thickBot="1">
      <c r="A65" s="1006"/>
      <c r="B65" s="319"/>
      <c r="C65" s="569" t="s">
        <v>137</v>
      </c>
      <c r="D65" s="570" t="s">
        <v>138</v>
      </c>
      <c r="E65" s="571">
        <v>667.8</v>
      </c>
      <c r="F65" s="41">
        <f>E65*(1-20%)</f>
        <v>534.24</v>
      </c>
      <c r="G65" s="41">
        <f t="shared" si="1"/>
        <v>0</v>
      </c>
      <c r="H65" s="396">
        <f t="shared" si="2"/>
        <v>45.143280000000004</v>
      </c>
      <c r="I65" s="396">
        <f t="shared" si="3"/>
        <v>0</v>
      </c>
      <c r="J65" s="396">
        <f t="shared" si="4"/>
        <v>17.095680000000002</v>
      </c>
      <c r="K65" s="396">
        <f t="shared" si="5"/>
        <v>0</v>
      </c>
      <c r="L65" s="397">
        <f t="shared" si="6"/>
        <v>14.050512000000001</v>
      </c>
      <c r="M65" s="397">
        <f t="shared" si="7"/>
        <v>0</v>
      </c>
      <c r="N65" s="397">
        <f t="shared" si="8"/>
        <v>11.699856</v>
      </c>
      <c r="O65" s="397">
        <f t="shared" si="9"/>
        <v>0</v>
      </c>
      <c r="P65" s="568"/>
    </row>
    <row r="66" spans="1:16" s="291" customFormat="1" ht="26.25" thickBot="1">
      <c r="A66" s="1006"/>
      <c r="B66" s="541"/>
      <c r="C66" s="297" t="s">
        <v>139</v>
      </c>
      <c r="D66" s="298" t="s">
        <v>140</v>
      </c>
      <c r="E66" s="491">
        <v>250</v>
      </c>
      <c r="F66" s="343">
        <f t="shared" si="0"/>
        <v>200</v>
      </c>
      <c r="G66" s="343">
        <f t="shared" si="1"/>
        <v>0</v>
      </c>
      <c r="H66" s="566">
        <f t="shared" si="2"/>
        <v>16.900000000000002</v>
      </c>
      <c r="I66" s="566">
        <f t="shared" si="3"/>
        <v>0</v>
      </c>
      <c r="J66" s="566">
        <f t="shared" si="4"/>
        <v>6.4</v>
      </c>
      <c r="K66" s="566">
        <f t="shared" si="5"/>
        <v>0</v>
      </c>
      <c r="L66" s="567">
        <f t="shared" si="6"/>
        <v>5.26</v>
      </c>
      <c r="M66" s="567">
        <f t="shared" si="7"/>
        <v>0</v>
      </c>
      <c r="N66" s="567">
        <f t="shared" si="8"/>
        <v>4.38</v>
      </c>
      <c r="O66" s="567">
        <f t="shared" si="9"/>
        <v>0</v>
      </c>
      <c r="P66" s="568"/>
    </row>
    <row r="67" spans="1:16" s="291" customFormat="1" ht="13.5" thickBot="1">
      <c r="A67" s="1006"/>
      <c r="B67" s="319"/>
      <c r="C67" s="297" t="s">
        <v>141</v>
      </c>
      <c r="D67" s="298" t="s">
        <v>142</v>
      </c>
      <c r="E67" s="491">
        <v>250</v>
      </c>
      <c r="F67" s="322">
        <f t="shared" si="0"/>
        <v>200</v>
      </c>
      <c r="G67" s="322">
        <f t="shared" si="1"/>
        <v>0</v>
      </c>
      <c r="H67" s="566">
        <f t="shared" si="2"/>
        <v>16.900000000000002</v>
      </c>
      <c r="I67" s="566">
        <f t="shared" si="3"/>
        <v>0</v>
      </c>
      <c r="J67" s="566">
        <f t="shared" si="4"/>
        <v>6.4</v>
      </c>
      <c r="K67" s="566">
        <f t="shared" si="5"/>
        <v>0</v>
      </c>
      <c r="L67" s="567">
        <f t="shared" si="6"/>
        <v>5.26</v>
      </c>
      <c r="M67" s="567">
        <f t="shared" si="7"/>
        <v>0</v>
      </c>
      <c r="N67" s="567">
        <f t="shared" si="8"/>
        <v>4.38</v>
      </c>
      <c r="O67" s="567">
        <f t="shared" si="9"/>
        <v>0</v>
      </c>
      <c r="P67" s="568"/>
    </row>
    <row r="68" spans="1:16" s="291" customFormat="1" ht="13.5" thickBot="1">
      <c r="A68" s="1006"/>
      <c r="B68" s="319"/>
      <c r="C68" s="297" t="s">
        <v>143</v>
      </c>
      <c r="D68" s="298" t="s">
        <v>144</v>
      </c>
      <c r="E68" s="491">
        <v>95</v>
      </c>
      <c r="F68" s="322">
        <f t="shared" si="0"/>
        <v>76</v>
      </c>
      <c r="G68" s="322">
        <f t="shared" si="1"/>
        <v>0</v>
      </c>
      <c r="H68" s="566">
        <f t="shared" si="2"/>
        <v>6.4220000000000006</v>
      </c>
      <c r="I68" s="566">
        <f t="shared" si="3"/>
        <v>0</v>
      </c>
      <c r="J68" s="566">
        <f t="shared" si="4"/>
        <v>2.4319999999999999</v>
      </c>
      <c r="K68" s="566">
        <f t="shared" si="5"/>
        <v>0</v>
      </c>
      <c r="L68" s="567">
        <f t="shared" si="6"/>
        <v>1.9988000000000001</v>
      </c>
      <c r="M68" s="567">
        <f t="shared" si="7"/>
        <v>0</v>
      </c>
      <c r="N68" s="567">
        <f t="shared" si="8"/>
        <v>1.6643999999999999</v>
      </c>
      <c r="O68" s="567">
        <f t="shared" si="9"/>
        <v>0</v>
      </c>
      <c r="P68" s="568"/>
    </row>
    <row r="69" spans="1:16" s="291" customFormat="1" ht="13.5" thickBot="1">
      <c r="A69" s="1006"/>
      <c r="B69" s="541"/>
      <c r="C69" s="297" t="s">
        <v>145</v>
      </c>
      <c r="D69" s="298" t="s">
        <v>146</v>
      </c>
      <c r="E69" s="491">
        <v>374</v>
      </c>
      <c r="F69" s="40">
        <f t="shared" si="0"/>
        <v>299.2</v>
      </c>
      <c r="G69" s="40">
        <f t="shared" si="1"/>
        <v>0</v>
      </c>
      <c r="H69" s="396">
        <f t="shared" si="2"/>
        <v>25.282399999999999</v>
      </c>
      <c r="I69" s="396">
        <f t="shared" si="3"/>
        <v>0</v>
      </c>
      <c r="J69" s="396">
        <f t="shared" si="4"/>
        <v>9.5744000000000007</v>
      </c>
      <c r="K69" s="396">
        <f t="shared" si="5"/>
        <v>0</v>
      </c>
      <c r="L69" s="397">
        <f t="shared" si="6"/>
        <v>7.8689599999999995</v>
      </c>
      <c r="M69" s="397">
        <f t="shared" si="7"/>
        <v>0</v>
      </c>
      <c r="N69" s="397">
        <f t="shared" si="8"/>
        <v>6.5524799999999992</v>
      </c>
      <c r="O69" s="397">
        <f t="shared" si="9"/>
        <v>0</v>
      </c>
      <c r="P69" s="568"/>
    </row>
    <row r="70" spans="1:16" s="291" customFormat="1" ht="13.5" thickBot="1">
      <c r="A70" s="1006"/>
      <c r="B70" s="319"/>
      <c r="C70" s="297" t="s">
        <v>147</v>
      </c>
      <c r="D70" s="298" t="s">
        <v>148</v>
      </c>
      <c r="E70" s="491">
        <v>386</v>
      </c>
      <c r="F70" s="41">
        <f t="shared" si="0"/>
        <v>308.8</v>
      </c>
      <c r="G70" s="41">
        <f t="shared" si="1"/>
        <v>0</v>
      </c>
      <c r="H70" s="396">
        <f t="shared" si="2"/>
        <v>26.093600000000002</v>
      </c>
      <c r="I70" s="396">
        <f t="shared" si="3"/>
        <v>0</v>
      </c>
      <c r="J70" s="396">
        <f t="shared" si="4"/>
        <v>9.8816000000000006</v>
      </c>
      <c r="K70" s="396">
        <f t="shared" si="5"/>
        <v>0</v>
      </c>
      <c r="L70" s="397">
        <f t="shared" si="6"/>
        <v>8.1214399999999998</v>
      </c>
      <c r="M70" s="397">
        <f t="shared" si="7"/>
        <v>0</v>
      </c>
      <c r="N70" s="397">
        <f t="shared" si="8"/>
        <v>6.7627199999999998</v>
      </c>
      <c r="O70" s="397">
        <f t="shared" si="9"/>
        <v>0</v>
      </c>
      <c r="P70" s="568"/>
    </row>
    <row r="71" spans="1:16" s="291" customFormat="1" ht="13.5" thickBot="1">
      <c r="A71" s="1006"/>
      <c r="B71" s="319"/>
      <c r="C71" s="297" t="s">
        <v>149</v>
      </c>
      <c r="D71" s="298" t="s">
        <v>150</v>
      </c>
      <c r="E71" s="491">
        <v>120</v>
      </c>
      <c r="F71" s="322">
        <f t="shared" si="0"/>
        <v>96</v>
      </c>
      <c r="G71" s="41">
        <f t="shared" si="1"/>
        <v>0</v>
      </c>
      <c r="H71" s="566">
        <f t="shared" si="2"/>
        <v>8.1120000000000001</v>
      </c>
      <c r="I71" s="396">
        <f t="shared" si="3"/>
        <v>0</v>
      </c>
      <c r="J71" s="566">
        <f t="shared" si="4"/>
        <v>3.0720000000000001</v>
      </c>
      <c r="K71" s="396">
        <f t="shared" si="5"/>
        <v>0</v>
      </c>
      <c r="L71" s="567">
        <f t="shared" si="6"/>
        <v>2.5247999999999999</v>
      </c>
      <c r="M71" s="397">
        <f t="shared" si="7"/>
        <v>0</v>
      </c>
      <c r="N71" s="567">
        <f t="shared" si="8"/>
        <v>2.1023999999999998</v>
      </c>
      <c r="O71" s="397">
        <f t="shared" si="9"/>
        <v>0</v>
      </c>
      <c r="P71" s="568"/>
    </row>
    <row r="72" spans="1:16" s="291" customFormat="1" ht="13.5" thickBot="1">
      <c r="A72" s="1007"/>
      <c r="B72" s="319"/>
      <c r="C72" s="569" t="s">
        <v>151</v>
      </c>
      <c r="D72" s="570" t="s">
        <v>152</v>
      </c>
      <c r="E72" s="320">
        <v>120</v>
      </c>
      <c r="F72" s="41">
        <f t="shared" si="0"/>
        <v>96</v>
      </c>
      <c r="G72" s="41">
        <f t="shared" si="1"/>
        <v>0</v>
      </c>
      <c r="H72" s="396">
        <f t="shared" si="2"/>
        <v>8.1120000000000001</v>
      </c>
      <c r="I72" s="396">
        <f t="shared" si="3"/>
        <v>0</v>
      </c>
      <c r="J72" s="396">
        <f t="shared" si="4"/>
        <v>3.0720000000000001</v>
      </c>
      <c r="K72" s="396">
        <f t="shared" si="5"/>
        <v>0</v>
      </c>
      <c r="L72" s="397">
        <f t="shared" si="6"/>
        <v>2.5247999999999999</v>
      </c>
      <c r="M72" s="397">
        <f t="shared" si="7"/>
        <v>0</v>
      </c>
      <c r="N72" s="397">
        <f t="shared" si="8"/>
        <v>2.1023999999999998</v>
      </c>
      <c r="O72" s="397">
        <f t="shared" si="9"/>
        <v>0</v>
      </c>
      <c r="P72" s="568"/>
    </row>
    <row r="73" spans="1:16" s="315" customFormat="1" ht="15">
      <c r="B73" s="572"/>
      <c r="C73" s="572"/>
      <c r="D73" s="1008" t="s">
        <v>65</v>
      </c>
      <c r="E73" s="1009"/>
      <c r="F73" s="1010"/>
      <c r="G73" s="573">
        <f t="array" ref="G73">SUM(G47:G72)+G39:G46:G72+G43:G46:G72</f>
        <v>0</v>
      </c>
      <c r="H73" s="329" t="s">
        <v>153</v>
      </c>
      <c r="I73" s="573">
        <f t="array" ref="I73">SUM(I47:I72)+I39:I46:I72+I43:I46:I72</f>
        <v>0</v>
      </c>
      <c r="J73" s="329" t="s">
        <v>154</v>
      </c>
      <c r="K73" s="573">
        <f t="array" ref="K73">SUM(K47:K72)+K39:K46:K72+K43:K46:K72</f>
        <v>0</v>
      </c>
      <c r="L73" s="329" t="s">
        <v>155</v>
      </c>
      <c r="M73" s="573">
        <f t="array" ref="M73">SUM(M47:M72)+M39:M46:M72+M43:M46:M72</f>
        <v>0</v>
      </c>
      <c r="N73" s="329" t="s">
        <v>156</v>
      </c>
      <c r="O73" s="573">
        <f t="array" ref="O73">SUM(O47:O72)+O39:O46:O72+O43:O46:O72</f>
        <v>0</v>
      </c>
    </row>
    <row r="74" spans="1:16" s="315" customFormat="1" ht="14.25">
      <c r="B74" s="574"/>
      <c r="C74" s="574"/>
      <c r="F74" s="456"/>
      <c r="G74" s="456"/>
    </row>
    <row r="75" spans="1:16" s="315" customFormat="1">
      <c r="B75" s="256"/>
      <c r="C75" s="256"/>
      <c r="F75" s="456"/>
      <c r="G75" s="456"/>
    </row>
    <row r="85" spans="2:9" ht="14.25">
      <c r="C85" s="269"/>
      <c r="D85" s="283"/>
    </row>
    <row r="86" spans="2:9" ht="14.25">
      <c r="C86" s="269"/>
      <c r="D86" s="283"/>
    </row>
    <row r="87" spans="2:9" ht="14.25">
      <c r="C87" s="269"/>
      <c r="D87" s="283"/>
    </row>
    <row r="88" spans="2:9" ht="14.25">
      <c r="C88" s="269"/>
      <c r="D88" s="283"/>
    </row>
    <row r="89" spans="2:9" ht="14.25">
      <c r="C89" s="269"/>
      <c r="D89" s="283"/>
    </row>
    <row r="90" spans="2:9" ht="14.25">
      <c r="C90" s="269"/>
      <c r="D90" s="283"/>
    </row>
    <row r="91" spans="2:9" ht="14.25">
      <c r="C91" s="269"/>
      <c r="D91" s="283"/>
    </row>
    <row r="92" spans="2:9" ht="14.25">
      <c r="C92" s="269"/>
      <c r="D92" s="283"/>
    </row>
    <row r="93" spans="2:9" ht="14.25">
      <c r="B93" s="258"/>
      <c r="C93" s="269"/>
      <c r="D93" s="283"/>
    </row>
    <row r="94" spans="2:9" ht="14.25">
      <c r="C94" s="269"/>
      <c r="D94" s="283"/>
    </row>
    <row r="95" spans="2:9" ht="14.25">
      <c r="E95" s="269"/>
      <c r="F95" s="283"/>
      <c r="G95" s="256"/>
      <c r="H95" s="333"/>
      <c r="I95" s="333"/>
    </row>
    <row r="96" spans="2:9" ht="14.25" outlineLevel="2">
      <c r="D96" s="269"/>
      <c r="E96" s="283"/>
      <c r="F96" s="256"/>
      <c r="H96" s="333"/>
    </row>
    <row r="97" spans="3:15" ht="14.25" collapsed="1">
      <c r="C97" s="283"/>
      <c r="E97" s="333"/>
      <c r="G97" s="256"/>
      <c r="N97" s="269"/>
      <c r="O97" s="283"/>
    </row>
    <row r="98" spans="3:15" ht="14.25">
      <c r="C98" s="333"/>
      <c r="D98" s="333"/>
      <c r="F98" s="256"/>
      <c r="G98" s="256"/>
      <c r="L98" s="269"/>
      <c r="M98" s="283"/>
      <c r="O98" s="333"/>
    </row>
    <row r="99" spans="3:15" ht="14.25">
      <c r="F99" s="256"/>
      <c r="G99" s="269"/>
      <c r="I99" s="269"/>
      <c r="J99" s="283"/>
      <c r="L99" s="333"/>
      <c r="M99" s="333"/>
    </row>
    <row r="100" spans="3:15" ht="14.25">
      <c r="F100" s="256"/>
      <c r="G100" s="269"/>
      <c r="H100" s="283"/>
      <c r="J100" s="333"/>
      <c r="K100" s="333"/>
    </row>
    <row r="101" spans="3:15" ht="14.25" outlineLevel="2">
      <c r="E101" s="283"/>
      <c r="F101" s="256"/>
      <c r="H101" s="333"/>
    </row>
    <row r="102" spans="3:15" ht="21.75" customHeight="1" collapsed="1">
      <c r="C102" s="283"/>
      <c r="E102" s="333"/>
      <c r="G102" s="256"/>
      <c r="K102" s="269"/>
      <c r="M102" s="269"/>
      <c r="N102" s="283"/>
      <c r="O102" s="333"/>
    </row>
  </sheetData>
  <mergeCells count="52">
    <mergeCell ref="A28:H28"/>
    <mergeCell ref="I28:O28"/>
    <mergeCell ref="A4:O4"/>
    <mergeCell ref="A5:O5"/>
    <mergeCell ref="G10:J10"/>
    <mergeCell ref="D23:D24"/>
    <mergeCell ref="A27:O27"/>
    <mergeCell ref="A29:D29"/>
    <mergeCell ref="E29:G29"/>
    <mergeCell ref="I29:L29"/>
    <mergeCell ref="M29:O29"/>
    <mergeCell ref="A30:D30"/>
    <mergeCell ref="E30:G30"/>
    <mergeCell ref="I30:L30"/>
    <mergeCell ref="M30:O30"/>
    <mergeCell ref="A31:D31"/>
    <mergeCell ref="E31:G31"/>
    <mergeCell ref="I31:L31"/>
    <mergeCell ref="M31:O31"/>
    <mergeCell ref="A32:D32"/>
    <mergeCell ref="E32:G32"/>
    <mergeCell ref="I32:L32"/>
    <mergeCell ref="M32:O32"/>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46:O46"/>
    <mergeCell ref="A47:A72"/>
    <mergeCell ref="D73:F73"/>
    <mergeCell ref="J43:J45"/>
    <mergeCell ref="K43:K45"/>
    <mergeCell ref="L43:L45"/>
    <mergeCell ref="M43:M45"/>
    <mergeCell ref="N43:N45"/>
    <mergeCell ref="O43:O45"/>
    <mergeCell ref="A43:A45"/>
    <mergeCell ref="B43:B45"/>
    <mergeCell ref="G43:G45"/>
    <mergeCell ref="H43:H45"/>
    <mergeCell ref="I43:I45"/>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69AA1-C014-4A15-81C9-06EAFF0074EA}">
  <sheetPr>
    <tabColor rgb="FFFF0000"/>
  </sheetPr>
  <dimension ref="A1:L49"/>
  <sheetViews>
    <sheetView topLeftCell="A7" zoomScale="62" zoomScaleNormal="62"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23.140625" style="333" customWidth="1"/>
    <col min="8" max="8" width="52.7109375" style="256" customWidth="1"/>
    <col min="9" max="9" width="20.85546875" style="256" customWidth="1"/>
    <col min="10" max="10" width="23" style="256" customWidth="1"/>
    <col min="11" max="11" width="20.42578125" style="256" customWidth="1"/>
    <col min="12" max="16384" width="8.85546875" style="256"/>
  </cols>
  <sheetData>
    <row r="1" spans="1:11" ht="13.5" thickBot="1">
      <c r="B1" s="257"/>
      <c r="C1" s="257"/>
      <c r="D1" s="258"/>
      <c r="E1" s="258"/>
      <c r="F1" s="259"/>
      <c r="G1" s="259"/>
      <c r="H1" s="259"/>
      <c r="I1" s="259"/>
      <c r="J1" s="259"/>
      <c r="K1" s="259"/>
    </row>
    <row r="2" spans="1:11" ht="9" customHeight="1">
      <c r="A2" s="260"/>
      <c r="B2" s="261"/>
      <c r="C2" s="261"/>
      <c r="D2" s="262"/>
      <c r="E2" s="262"/>
      <c r="F2" s="263"/>
      <c r="G2" s="263"/>
      <c r="H2" s="263"/>
      <c r="I2" s="264"/>
      <c r="J2" s="264"/>
      <c r="K2" s="264"/>
    </row>
    <row r="3" spans="1:11" ht="10.5" customHeight="1">
      <c r="B3" s="257"/>
      <c r="C3" s="257"/>
      <c r="D3" s="258"/>
      <c r="E3" s="258"/>
      <c r="F3" s="259"/>
      <c r="G3" s="259"/>
      <c r="H3" s="259"/>
      <c r="I3" s="265"/>
      <c r="J3" s="265"/>
      <c r="K3" s="265"/>
    </row>
    <row r="4" spans="1:11" ht="34.5">
      <c r="A4" s="1227" t="s">
        <v>697</v>
      </c>
      <c r="B4" s="1020"/>
      <c r="C4" s="1020"/>
      <c r="D4" s="1020"/>
      <c r="E4" s="1020"/>
      <c r="F4" s="1020"/>
      <c r="G4" s="1020"/>
      <c r="H4" s="1020"/>
      <c r="I4" s="1020"/>
      <c r="J4" s="1020"/>
      <c r="K4" s="1020"/>
    </row>
    <row r="5" spans="1:11" s="266" customFormat="1" ht="58.5" customHeight="1">
      <c r="A5" s="1228" t="s">
        <v>698</v>
      </c>
      <c r="B5" s="1229"/>
      <c r="C5" s="1229"/>
      <c r="D5" s="1229"/>
      <c r="E5" s="1229"/>
      <c r="F5" s="1229"/>
      <c r="G5" s="1229"/>
      <c r="H5" s="1229"/>
      <c r="I5" s="1229"/>
      <c r="J5" s="1229"/>
      <c r="K5" s="1229"/>
    </row>
    <row r="6" spans="1:11" ht="9" customHeight="1" thickBot="1">
      <c r="A6" s="267"/>
      <c r="B6" s="553"/>
      <c r="C6" s="553"/>
      <c r="D6" s="554"/>
      <c r="E6" s="554"/>
      <c r="F6" s="555"/>
      <c r="G6" s="555"/>
      <c r="H6" s="555"/>
      <c r="I6" s="506"/>
      <c r="J6" s="506"/>
      <c r="K6" s="506"/>
    </row>
    <row r="9" spans="1:11" s="265" customFormat="1" ht="14.25">
      <c r="B9" s="268"/>
      <c r="C9" s="268"/>
      <c r="D9" s="269"/>
      <c r="E9" s="269"/>
      <c r="F9" s="269"/>
      <c r="G9" s="269"/>
      <c r="H9" s="269"/>
      <c r="I9" s="269"/>
      <c r="J9" s="269"/>
      <c r="K9" s="269"/>
    </row>
    <row r="10" spans="1:11" s="265" customFormat="1" ht="18">
      <c r="F10" s="507"/>
      <c r="G10" s="1230" t="s">
        <v>0</v>
      </c>
      <c r="H10" s="1230"/>
      <c r="I10" s="1230"/>
    </row>
    <row r="11" spans="1:11" s="265" customFormat="1" ht="18">
      <c r="F11" s="519"/>
      <c r="G11" s="284" t="s">
        <v>1</v>
      </c>
      <c r="H11" s="802" t="s">
        <v>592</v>
      </c>
      <c r="I11" s="803"/>
    </row>
    <row r="12" spans="1:11" s="265" customFormat="1" ht="18">
      <c r="F12" s="519"/>
      <c r="G12" s="284" t="s">
        <v>7</v>
      </c>
      <c r="H12" s="805">
        <v>80000</v>
      </c>
      <c r="I12" s="806"/>
      <c r="K12" s="282"/>
    </row>
    <row r="13" spans="1:11" s="265" customFormat="1" ht="18">
      <c r="F13" s="804"/>
      <c r="G13" s="284" t="s">
        <v>8</v>
      </c>
      <c r="H13" s="802" t="s">
        <v>699</v>
      </c>
      <c r="I13" s="803"/>
      <c r="K13" s="556"/>
    </row>
    <row r="14" spans="1:11" s="265" customFormat="1" ht="18">
      <c r="F14" s="804"/>
      <c r="G14" s="284" t="s">
        <v>10</v>
      </c>
      <c r="H14" s="802" t="s">
        <v>594</v>
      </c>
      <c r="I14" s="803"/>
    </row>
    <row r="15" spans="1:11" s="265" customFormat="1" ht="18">
      <c r="A15" s="799"/>
      <c r="B15" s="256"/>
      <c r="C15" s="256"/>
      <c r="D15" s="256"/>
      <c r="E15" s="256"/>
      <c r="F15" s="315"/>
      <c r="G15" s="284" t="s">
        <v>185</v>
      </c>
      <c r="H15" s="802" t="s">
        <v>700</v>
      </c>
      <c r="I15" s="803"/>
    </row>
    <row r="16" spans="1:11" s="265" customFormat="1" ht="18">
      <c r="A16" s="547"/>
      <c r="B16" s="256"/>
      <c r="C16" s="256"/>
      <c r="E16" s="256"/>
      <c r="F16" s="315"/>
      <c r="G16" s="284" t="s">
        <v>18</v>
      </c>
      <c r="H16" s="802" t="s">
        <v>596</v>
      </c>
      <c r="I16" s="803"/>
    </row>
    <row r="17" spans="1:12" s="265" customFormat="1" ht="18">
      <c r="A17" s="547"/>
      <c r="B17" s="256"/>
      <c r="C17" s="256"/>
      <c r="E17" s="256"/>
      <c r="F17" s="315"/>
      <c r="G17" s="284" t="s">
        <v>22</v>
      </c>
      <c r="H17" s="802" t="s">
        <v>23</v>
      </c>
      <c r="I17" s="803"/>
    </row>
    <row r="18" spans="1:12" s="265" customFormat="1" ht="18">
      <c r="F18" s="804"/>
      <c r="G18" s="284" t="s">
        <v>24</v>
      </c>
      <c r="H18" s="802" t="s">
        <v>701</v>
      </c>
      <c r="I18" s="803"/>
    </row>
    <row r="19" spans="1:12" s="265" customFormat="1" ht="18">
      <c r="F19" s="804"/>
      <c r="G19" s="284" t="s">
        <v>26</v>
      </c>
      <c r="H19" s="802" t="s">
        <v>702</v>
      </c>
      <c r="I19" s="803"/>
    </row>
    <row r="20" spans="1:12" s="265" customFormat="1" ht="18">
      <c r="F20" s="269"/>
      <c r="G20" s="284" t="s">
        <v>28</v>
      </c>
      <c r="H20" s="801" t="s">
        <v>703</v>
      </c>
      <c r="K20" s="282"/>
    </row>
    <row r="21" spans="1:12" s="265" customFormat="1" ht="15.75" customHeight="1" thickBot="1">
      <c r="D21" s="277"/>
      <c r="E21" s="277"/>
      <c r="F21" s="269"/>
      <c r="G21" s="284"/>
      <c r="H21" s="802"/>
      <c r="I21" s="803"/>
    </row>
    <row r="22" spans="1:12" s="808" customFormat="1" ht="18">
      <c r="A22" s="547"/>
      <c r="B22" s="547"/>
      <c r="C22" s="547"/>
      <c r="D22" s="807"/>
      <c r="E22" s="1231" t="s">
        <v>30</v>
      </c>
      <c r="F22" s="1232"/>
      <c r="G22" s="1232"/>
      <c r="H22" s="1233"/>
      <c r="I22" s="807"/>
      <c r="J22" s="807"/>
      <c r="K22" s="807"/>
      <c r="L22" s="807"/>
    </row>
    <row r="23" spans="1:12" s="808" customFormat="1" ht="17.45" customHeight="1">
      <c r="A23" s="547"/>
      <c r="B23" s="547"/>
      <c r="C23" s="547"/>
      <c r="D23" s="257"/>
      <c r="E23" s="1234" t="s">
        <v>639</v>
      </c>
      <c r="F23" s="1235"/>
      <c r="G23" s="1235"/>
      <c r="H23" s="1236"/>
      <c r="I23" s="256"/>
      <c r="J23" s="256"/>
      <c r="K23" s="256"/>
    </row>
    <row r="24" spans="1:12" s="808" customFormat="1" ht="17.45" customHeight="1">
      <c r="A24" s="547"/>
      <c r="B24" s="547"/>
      <c r="C24" s="547"/>
      <c r="D24" s="257"/>
      <c r="E24" s="1219" t="s">
        <v>33</v>
      </c>
      <c r="F24" s="1220"/>
      <c r="G24" s="1220"/>
      <c r="H24" s="810" t="s">
        <v>34</v>
      </c>
      <c r="I24" s="811"/>
      <c r="J24" s="811"/>
      <c r="K24" s="811"/>
    </row>
    <row r="25" spans="1:12" s="808" customFormat="1" ht="18">
      <c r="A25" s="547"/>
      <c r="B25" s="547"/>
      <c r="C25" s="547"/>
      <c r="D25" s="257"/>
      <c r="E25" s="1219" t="s">
        <v>36</v>
      </c>
      <c r="F25" s="1220"/>
      <c r="G25" s="1220"/>
      <c r="H25" s="812">
        <v>50</v>
      </c>
      <c r="I25" s="256"/>
      <c r="J25" s="256"/>
      <c r="K25" s="256"/>
    </row>
    <row r="26" spans="1:12" s="808" customFormat="1" ht="18">
      <c r="A26" s="547"/>
      <c r="B26" s="547"/>
      <c r="C26" s="547"/>
      <c r="D26" s="257"/>
      <c r="E26" s="1219" t="s">
        <v>37</v>
      </c>
      <c r="F26" s="1220"/>
      <c r="G26" s="1220"/>
      <c r="H26" s="810" t="s">
        <v>547</v>
      </c>
      <c r="I26" s="256"/>
      <c r="J26" s="256"/>
      <c r="K26" s="256"/>
    </row>
    <row r="27" spans="1:12" s="808" customFormat="1" ht="18.75" thickBot="1">
      <c r="A27" s="547"/>
      <c r="B27" s="547"/>
      <c r="C27" s="547"/>
      <c r="D27" s="547"/>
      <c r="E27" s="1221" t="s">
        <v>548</v>
      </c>
      <c r="F27" s="1222"/>
      <c r="G27" s="1222"/>
      <c r="H27" s="1223"/>
      <c r="I27" s="547"/>
      <c r="J27" s="547"/>
      <c r="K27" s="547"/>
    </row>
    <row r="28" spans="1:12" s="265" customFormat="1" ht="12.75" customHeight="1">
      <c r="D28" s="277"/>
      <c r="E28" s="277"/>
      <c r="F28" s="329"/>
      <c r="G28" s="256"/>
      <c r="H28" s="256"/>
      <c r="I28" s="256"/>
      <c r="J28" s="256"/>
      <c r="K28" s="558"/>
    </row>
    <row r="29" spans="1:12" s="265" customFormat="1" ht="12.6" customHeight="1">
      <c r="D29" s="277"/>
      <c r="E29" s="277"/>
      <c r="F29" s="834"/>
      <c r="G29" s="835"/>
      <c r="H29" s="802"/>
      <c r="I29" s="803"/>
    </row>
    <row r="30" spans="1:12" s="265" customFormat="1" ht="12.75" customHeight="1" thickBot="1">
      <c r="D30" s="277"/>
      <c r="E30" s="277"/>
      <c r="F30" s="329"/>
      <c r="G30" s="256"/>
      <c r="H30" s="256"/>
      <c r="I30" s="256"/>
      <c r="J30" s="256"/>
      <c r="K30" s="558"/>
    </row>
    <row r="31" spans="1:12" s="265" customFormat="1" ht="18" customHeight="1" thickBot="1">
      <c r="C31" s="277"/>
      <c r="D31" s="283"/>
      <c r="F31" s="1237" t="s">
        <v>43</v>
      </c>
      <c r="G31" s="1238"/>
      <c r="H31" s="1239"/>
      <c r="I31" s="1239"/>
      <c r="J31" s="1239"/>
      <c r="K31" s="1240"/>
    </row>
    <row r="32" spans="1:12" s="265" customFormat="1" ht="107.65" customHeight="1" thickBot="1">
      <c r="A32" s="256"/>
      <c r="B32" s="256"/>
      <c r="C32" s="269"/>
      <c r="D32" s="283"/>
      <c r="E32" s="814" t="s">
        <v>549</v>
      </c>
      <c r="F32" s="814" t="s">
        <v>46</v>
      </c>
      <c r="G32" s="814" t="s">
        <v>47</v>
      </c>
      <c r="H32" s="814" t="s">
        <v>48</v>
      </c>
      <c r="I32" s="814" t="s">
        <v>49</v>
      </c>
      <c r="J32" s="814" t="s">
        <v>50</v>
      </c>
      <c r="K32" s="814" t="s">
        <v>51</v>
      </c>
    </row>
    <row r="33" spans="1:11" s="813" customFormat="1" ht="153" customHeight="1" thickBot="1">
      <c r="A33" s="256"/>
      <c r="B33" s="256"/>
      <c r="C33" s="269"/>
      <c r="D33" s="283"/>
      <c r="E33" s="816">
        <v>26</v>
      </c>
      <c r="F33" s="816"/>
      <c r="G33" s="816" t="s">
        <v>704</v>
      </c>
      <c r="H33" s="817" t="s">
        <v>705</v>
      </c>
      <c r="I33" s="818">
        <v>354.35</v>
      </c>
      <c r="J33" s="819">
        <f>SUM(I33:I33)*(1-30%)</f>
        <v>248.04499999999999</v>
      </c>
      <c r="K33" s="819">
        <f>J33*F33</f>
        <v>0</v>
      </c>
    </row>
    <row r="34" spans="1:11" s="815" customFormat="1" ht="23.25">
      <c r="A34" s="256"/>
      <c r="B34" s="256"/>
      <c r="C34" s="269"/>
      <c r="D34" s="283"/>
      <c r="E34" s="1217" t="s">
        <v>65</v>
      </c>
      <c r="F34" s="1217"/>
      <c r="G34" s="1218"/>
      <c r="H34" s="1218"/>
      <c r="I34" s="1218"/>
      <c r="J34" s="1218"/>
      <c r="K34" s="830">
        <f>SUM(K33:K33)</f>
        <v>0</v>
      </c>
    </row>
    <row r="35" spans="1:11">
      <c r="F35" s="831"/>
      <c r="G35" s="831"/>
      <c r="H35" s="271"/>
      <c r="I35" s="271"/>
      <c r="J35" s="271"/>
      <c r="K35" s="271"/>
    </row>
    <row r="36" spans="1:11">
      <c r="F36" s="831"/>
      <c r="G36" s="831"/>
      <c r="H36" s="271"/>
      <c r="I36" s="271"/>
      <c r="J36" s="271"/>
      <c r="K36" s="271"/>
    </row>
    <row r="37" spans="1:11">
      <c r="B37" s="258"/>
      <c r="C37" s="258"/>
      <c r="F37" s="831"/>
      <c r="G37" s="831"/>
      <c r="H37" s="271"/>
      <c r="I37" s="271"/>
      <c r="J37" s="271"/>
      <c r="K37" s="271"/>
    </row>
    <row r="38" spans="1:11">
      <c r="F38" s="831"/>
      <c r="G38" s="831"/>
      <c r="H38" s="271"/>
      <c r="I38" s="271"/>
      <c r="J38" s="271"/>
      <c r="K38" s="271"/>
    </row>
    <row r="39" spans="1:11">
      <c r="G39" s="831"/>
      <c r="I39" s="271"/>
      <c r="K39" s="271"/>
    </row>
    <row r="42" spans="1:11">
      <c r="F42" s="256"/>
      <c r="G42" s="256"/>
    </row>
    <row r="43" spans="1:11">
      <c r="F43" s="256"/>
      <c r="G43" s="256"/>
    </row>
    <row r="44" spans="1:11">
      <c r="F44" s="256"/>
      <c r="G44" s="256"/>
    </row>
    <row r="45" spans="1:11">
      <c r="F45" s="256"/>
      <c r="G45" s="256"/>
    </row>
    <row r="46" spans="1:11">
      <c r="F46" s="256"/>
      <c r="G46" s="256"/>
    </row>
    <row r="47" spans="1:11">
      <c r="F47" s="256"/>
      <c r="G47" s="256"/>
    </row>
    <row r="48" spans="1:11">
      <c r="F48" s="256"/>
      <c r="G48" s="256"/>
    </row>
    <row r="49" s="256" customFormat="1"/>
  </sheetData>
  <mergeCells count="11">
    <mergeCell ref="E24:G24"/>
    <mergeCell ref="A4:K4"/>
    <mergeCell ref="A5:K5"/>
    <mergeCell ref="G10:I10"/>
    <mergeCell ref="E22:H22"/>
    <mergeCell ref="E23:H23"/>
    <mergeCell ref="E25:G25"/>
    <mergeCell ref="E26:G26"/>
    <mergeCell ref="E27:H27"/>
    <mergeCell ref="F31:K31"/>
    <mergeCell ref="E34:J3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6A870-C664-4F22-ADD1-1D7536A0132B}">
  <sheetPr>
    <tabColor rgb="FF006600"/>
  </sheetPr>
  <dimension ref="A1:M63"/>
  <sheetViews>
    <sheetView topLeftCell="A22" zoomScale="65" zoomScaleNormal="65"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54.5703125" style="333" customWidth="1"/>
    <col min="8" max="8" width="22.42578125" style="256" customWidth="1"/>
    <col min="9" max="9" width="20.85546875" style="256" customWidth="1"/>
    <col min="10" max="10" width="23" style="256" customWidth="1"/>
    <col min="11" max="11" width="13.140625" style="256" bestFit="1" customWidth="1"/>
    <col min="12" max="16384" width="8.85546875" style="256"/>
  </cols>
  <sheetData>
    <row r="1" spans="1:10" ht="13.5" thickBot="1">
      <c r="B1" s="257"/>
      <c r="C1" s="257"/>
      <c r="D1" s="258"/>
      <c r="E1" s="258"/>
      <c r="F1" s="259"/>
      <c r="G1" s="259"/>
      <c r="H1" s="259"/>
      <c r="I1" s="259"/>
      <c r="J1" s="259"/>
    </row>
    <row r="2" spans="1:10" ht="9" customHeight="1">
      <c r="A2" s="260"/>
      <c r="B2" s="261"/>
      <c r="C2" s="261"/>
      <c r="D2" s="262"/>
      <c r="E2" s="262"/>
      <c r="F2" s="263"/>
      <c r="G2" s="263"/>
      <c r="H2" s="263"/>
      <c r="I2" s="264"/>
      <c r="J2" s="264"/>
    </row>
    <row r="3" spans="1:10" ht="10.5" customHeight="1">
      <c r="B3" s="257"/>
      <c r="C3" s="257"/>
      <c r="D3" s="258"/>
      <c r="E3" s="258"/>
      <c r="F3" s="259"/>
      <c r="G3" s="259"/>
      <c r="H3" s="259"/>
      <c r="I3" s="265"/>
      <c r="J3" s="265"/>
    </row>
    <row r="4" spans="1:10" ht="34.5">
      <c r="A4" s="1227" t="s">
        <v>706</v>
      </c>
      <c r="B4" s="1020"/>
      <c r="C4" s="1020"/>
      <c r="D4" s="1020"/>
      <c r="E4" s="1020"/>
      <c r="F4" s="1020"/>
      <c r="G4" s="1020"/>
      <c r="H4" s="1020"/>
      <c r="I4" s="1020"/>
      <c r="J4" s="1020"/>
    </row>
    <row r="5" spans="1:10" s="266" customFormat="1" ht="58.5" customHeight="1">
      <c r="A5" s="1228" t="s">
        <v>707</v>
      </c>
      <c r="B5" s="1229"/>
      <c r="C5" s="1229"/>
      <c r="D5" s="1229"/>
      <c r="E5" s="1229"/>
      <c r="F5" s="1229"/>
      <c r="G5" s="1229"/>
      <c r="H5" s="1229"/>
      <c r="I5" s="1229"/>
      <c r="J5" s="1229"/>
    </row>
    <row r="6" spans="1:10" ht="9" customHeight="1" thickBot="1">
      <c r="A6" s="267"/>
      <c r="B6" s="553"/>
      <c r="C6" s="553"/>
      <c r="D6" s="554"/>
      <c r="E6" s="554"/>
      <c r="F6" s="555"/>
      <c r="G6" s="555"/>
      <c r="H6" s="555"/>
      <c r="I6" s="506"/>
      <c r="J6" s="506"/>
    </row>
    <row r="9" spans="1:10" s="265" customFormat="1" ht="14.25">
      <c r="B9" s="268"/>
      <c r="C9" s="268"/>
      <c r="D9" s="269"/>
      <c r="E9" s="269"/>
      <c r="F9" s="269"/>
      <c r="G9" s="269"/>
      <c r="H9" s="269"/>
      <c r="I9" s="269"/>
      <c r="J9" s="269"/>
    </row>
    <row r="10" spans="1:10" s="265" customFormat="1" ht="18">
      <c r="F10" s="507"/>
      <c r="G10" s="1230" t="s">
        <v>0</v>
      </c>
      <c r="H10" s="1230"/>
      <c r="I10" s="1230"/>
    </row>
    <row r="11" spans="1:10" s="265" customFormat="1" ht="18">
      <c r="F11" s="519"/>
      <c r="G11" s="284" t="s">
        <v>1</v>
      </c>
      <c r="H11" s="802" t="s">
        <v>553</v>
      </c>
      <c r="I11" s="803"/>
    </row>
    <row r="12" spans="1:10" s="265" customFormat="1" ht="18">
      <c r="F12" s="519"/>
      <c r="G12" s="284" t="s">
        <v>3</v>
      </c>
      <c r="H12" s="802" t="s">
        <v>708</v>
      </c>
      <c r="I12" s="803"/>
    </row>
    <row r="13" spans="1:10" s="265" customFormat="1" ht="18">
      <c r="F13" s="804"/>
      <c r="G13" s="284" t="s">
        <v>7</v>
      </c>
      <c r="H13" s="805">
        <v>85000</v>
      </c>
      <c r="I13" s="806"/>
    </row>
    <row r="14" spans="1:10" s="265" customFormat="1" ht="18">
      <c r="F14" s="804"/>
      <c r="G14" s="284" t="s">
        <v>8</v>
      </c>
      <c r="H14" s="802" t="s">
        <v>709</v>
      </c>
      <c r="I14" s="803"/>
    </row>
    <row r="15" spans="1:10" s="265" customFormat="1" ht="18">
      <c r="A15" s="799"/>
      <c r="B15" s="256"/>
      <c r="C15" s="256"/>
      <c r="D15" s="256"/>
      <c r="E15" s="256"/>
      <c r="F15" s="315"/>
      <c r="G15" s="284" t="s">
        <v>10</v>
      </c>
      <c r="H15" s="802" t="s">
        <v>11</v>
      </c>
      <c r="I15" s="803"/>
    </row>
    <row r="16" spans="1:10" s="265" customFormat="1" ht="18">
      <c r="A16" s="547"/>
      <c r="B16" s="256"/>
      <c r="C16" s="256"/>
      <c r="E16" s="256"/>
      <c r="F16" s="315"/>
      <c r="G16" s="284" t="s">
        <v>185</v>
      </c>
      <c r="H16" s="802" t="s">
        <v>710</v>
      </c>
      <c r="I16" s="803"/>
    </row>
    <row r="17" spans="1:13" s="265" customFormat="1" ht="18">
      <c r="F17" s="804"/>
      <c r="G17" s="284" t="s">
        <v>18</v>
      </c>
      <c r="H17" s="802" t="s">
        <v>19</v>
      </c>
      <c r="I17" s="803"/>
    </row>
    <row r="18" spans="1:13" s="265" customFormat="1" ht="18">
      <c r="F18" s="804"/>
      <c r="G18" s="284" t="s">
        <v>20</v>
      </c>
      <c r="H18" s="802" t="s">
        <v>711</v>
      </c>
      <c r="I18" s="803"/>
    </row>
    <row r="19" spans="1:13" s="265" customFormat="1" ht="18">
      <c r="F19" s="269"/>
      <c r="G19" s="284" t="s">
        <v>22</v>
      </c>
      <c r="H19" s="802" t="s">
        <v>712</v>
      </c>
      <c r="I19" s="803"/>
    </row>
    <row r="20" spans="1:13" s="265" customFormat="1" ht="15.75" customHeight="1">
      <c r="D20" s="277"/>
      <c r="E20" s="277"/>
      <c r="F20" s="269"/>
      <c r="G20" s="284" t="s">
        <v>24</v>
      </c>
      <c r="H20" s="802" t="s">
        <v>559</v>
      </c>
      <c r="I20" s="803"/>
    </row>
    <row r="21" spans="1:13" s="265" customFormat="1" ht="18">
      <c r="D21" s="277"/>
      <c r="E21" s="277"/>
      <c r="F21" s="269"/>
      <c r="G21" s="284" t="s">
        <v>26</v>
      </c>
      <c r="H21" s="802" t="s">
        <v>713</v>
      </c>
      <c r="I21" s="803"/>
    </row>
    <row r="22" spans="1:13" s="265" customFormat="1" ht="18">
      <c r="D22" s="277"/>
      <c r="E22" s="277"/>
      <c r="F22" s="269"/>
      <c r="G22" s="284" t="s">
        <v>28</v>
      </c>
      <c r="H22" s="802" t="s">
        <v>714</v>
      </c>
      <c r="I22" s="803"/>
    </row>
    <row r="23" spans="1:13" s="265" customFormat="1" ht="12.6" customHeight="1" thickBot="1">
      <c r="D23" s="277"/>
      <c r="E23" s="277"/>
      <c r="F23" s="834"/>
      <c r="G23" s="835"/>
      <c r="H23" s="802"/>
      <c r="I23" s="803"/>
    </row>
    <row r="24" spans="1:13" s="808" customFormat="1" ht="18">
      <c r="A24" s="547"/>
      <c r="B24" s="547"/>
      <c r="C24" s="547"/>
      <c r="D24" s="807"/>
      <c r="E24" s="1231" t="s">
        <v>30</v>
      </c>
      <c r="F24" s="1232"/>
      <c r="G24" s="1232"/>
      <c r="H24" s="1233"/>
      <c r="I24" s="807"/>
      <c r="J24" s="807"/>
      <c r="K24" s="849"/>
      <c r="L24" s="807"/>
      <c r="M24" s="807"/>
    </row>
    <row r="25" spans="1:13" s="808" customFormat="1" ht="17.45" customHeight="1">
      <c r="A25" s="547"/>
      <c r="B25" s="547"/>
      <c r="C25" s="547"/>
      <c r="D25" s="257"/>
      <c r="E25" s="1234" t="s">
        <v>715</v>
      </c>
      <c r="F25" s="1235"/>
      <c r="G25" s="1235"/>
      <c r="H25" s="1236"/>
      <c r="I25" s="256"/>
      <c r="J25" s="256"/>
      <c r="K25" s="850"/>
    </row>
    <row r="26" spans="1:13" s="808" customFormat="1" ht="17.45" customHeight="1">
      <c r="A26" s="547"/>
      <c r="B26" s="547"/>
      <c r="C26" s="547"/>
      <c r="D26" s="257"/>
      <c r="E26" s="1219" t="s">
        <v>33</v>
      </c>
      <c r="F26" s="1220"/>
      <c r="G26" s="1246" t="s">
        <v>34</v>
      </c>
      <c r="H26" s="1247"/>
      <c r="I26" s="811"/>
      <c r="J26" s="811"/>
      <c r="K26" s="850"/>
    </row>
    <row r="27" spans="1:13" s="808" customFormat="1" ht="17.45" customHeight="1">
      <c r="A27" s="547"/>
      <c r="B27" s="547"/>
      <c r="C27" s="547"/>
      <c r="D27" s="257"/>
      <c r="E27" s="1219" t="s">
        <v>36</v>
      </c>
      <c r="F27" s="1220"/>
      <c r="G27" s="1244">
        <v>300</v>
      </c>
      <c r="H27" s="1245"/>
      <c r="I27" s="256"/>
      <c r="J27" s="256"/>
      <c r="K27" s="850"/>
    </row>
    <row r="28" spans="1:13" s="808" customFormat="1" ht="17.45" customHeight="1">
      <c r="A28" s="547"/>
      <c r="B28" s="547"/>
      <c r="C28" s="547"/>
      <c r="D28" s="257"/>
      <c r="E28" s="1219" t="s">
        <v>37</v>
      </c>
      <c r="F28" s="1220"/>
      <c r="G28" s="1246" t="s">
        <v>547</v>
      </c>
      <c r="H28" s="1247"/>
      <c r="I28" s="256"/>
      <c r="J28" s="256"/>
      <c r="K28" s="850"/>
    </row>
    <row r="29" spans="1:13" s="808" customFormat="1" ht="17.649999999999999" customHeight="1" thickBot="1">
      <c r="A29" s="547"/>
      <c r="B29" s="547"/>
      <c r="C29" s="547"/>
      <c r="D29" s="547"/>
      <c r="E29" s="1221" t="s">
        <v>548</v>
      </c>
      <c r="F29" s="1222"/>
      <c r="G29" s="1222"/>
      <c r="H29" s="1223"/>
      <c r="I29" s="547"/>
      <c r="J29" s="547"/>
      <c r="K29" s="850"/>
    </row>
    <row r="30" spans="1:13" s="265" customFormat="1" ht="12.75" customHeight="1">
      <c r="D30" s="277"/>
      <c r="E30" s="277"/>
      <c r="F30" s="329"/>
      <c r="G30" s="256"/>
      <c r="H30" s="256"/>
      <c r="I30" s="256"/>
      <c r="J30" s="256"/>
    </row>
    <row r="31" spans="1:13" s="265" customFormat="1" ht="12.75" customHeight="1">
      <c r="D31" s="277"/>
      <c r="E31" s="277"/>
      <c r="F31" s="329"/>
      <c r="G31" s="256"/>
      <c r="H31" s="256"/>
      <c r="I31" s="256"/>
      <c r="J31" s="256"/>
    </row>
    <row r="32" spans="1:13" s="265" customFormat="1" ht="12.75" customHeight="1">
      <c r="B32" s="577"/>
      <c r="C32" s="577"/>
      <c r="D32" s="277"/>
      <c r="E32" s="277"/>
      <c r="F32" s="277"/>
      <c r="G32" s="277"/>
      <c r="H32" s="277"/>
      <c r="I32" s="277"/>
      <c r="J32" s="283"/>
    </row>
    <row r="33" spans="1:11" s="265" customFormat="1" ht="12.75" customHeight="1">
      <c r="D33" s="277"/>
      <c r="E33" s="277"/>
      <c r="F33" s="329"/>
      <c r="G33" s="256"/>
      <c r="H33" s="256"/>
      <c r="I33" s="256"/>
      <c r="J33" s="256"/>
    </row>
    <row r="34" spans="1:11" s="265" customFormat="1" ht="12.75" customHeight="1">
      <c r="D34" s="277"/>
      <c r="E34" s="277"/>
      <c r="F34" s="329"/>
      <c r="G34" s="256"/>
      <c r="H34" s="256"/>
      <c r="I34" s="256"/>
      <c r="J34" s="256"/>
    </row>
    <row r="35" spans="1:11" s="265" customFormat="1" ht="18" customHeight="1" thickBot="1">
      <c r="C35" s="277"/>
      <c r="D35" s="283"/>
      <c r="E35" s="284"/>
      <c r="F35" s="256"/>
      <c r="G35" s="1224"/>
      <c r="H35" s="1088"/>
      <c r="I35" s="287"/>
      <c r="J35" s="288"/>
    </row>
    <row r="36" spans="1:11" s="265" customFormat="1" ht="15.75" customHeight="1" thickBot="1">
      <c r="E36" s="1063" t="s">
        <v>43</v>
      </c>
      <c r="F36" s="1101"/>
      <c r="G36" s="1003"/>
      <c r="H36" s="1003"/>
      <c r="I36" s="1003"/>
      <c r="J36" s="1025"/>
    </row>
    <row r="37" spans="1:11" s="813" customFormat="1" ht="59.25" thickBot="1">
      <c r="D37" s="814" t="s">
        <v>549</v>
      </c>
      <c r="E37" s="814" t="s">
        <v>46</v>
      </c>
      <c r="F37" s="814" t="s">
        <v>47</v>
      </c>
      <c r="G37" s="814" t="s">
        <v>48</v>
      </c>
      <c r="H37" s="814" t="s">
        <v>49</v>
      </c>
      <c r="I37" s="814" t="s">
        <v>50</v>
      </c>
      <c r="J37" s="814" t="s">
        <v>51</v>
      </c>
    </row>
    <row r="38" spans="1:11" s="815" customFormat="1" ht="21" thickBot="1">
      <c r="D38" s="816">
        <v>27</v>
      </c>
      <c r="E38" s="816"/>
      <c r="F38" s="207" t="s">
        <v>716</v>
      </c>
      <c r="G38" s="851" t="s">
        <v>717</v>
      </c>
      <c r="H38" s="818">
        <v>4120.28</v>
      </c>
      <c r="I38" s="819">
        <f>SUM(H38:H38)*(1-50%)</f>
        <v>2060.14</v>
      </c>
      <c r="J38" s="819">
        <f>I38*E38</f>
        <v>0</v>
      </c>
    </row>
    <row r="39" spans="1:11" s="808" customFormat="1" ht="19.5" thickBot="1">
      <c r="A39" s="208"/>
      <c r="B39" s="209"/>
      <c r="C39" s="209"/>
      <c r="D39" s="1225" t="s">
        <v>59</v>
      </c>
      <c r="E39" s="1226"/>
      <c r="F39" s="1226"/>
      <c r="G39" s="1226"/>
      <c r="H39" s="1226"/>
      <c r="I39" s="1226"/>
      <c r="J39" s="1226"/>
    </row>
    <row r="40" spans="1:11" s="808" customFormat="1" ht="19.5" thickBot="1">
      <c r="A40" s="208"/>
      <c r="B40" s="209"/>
      <c r="C40" s="209"/>
      <c r="D40" s="1215"/>
      <c r="E40" s="820"/>
      <c r="F40" s="789" t="s">
        <v>718</v>
      </c>
      <c r="G40" s="486" t="s">
        <v>567</v>
      </c>
      <c r="H40" s="790">
        <v>260.68041237113403</v>
      </c>
      <c r="I40" s="483">
        <f>H40*(1-10%)</f>
        <v>234.61237113402063</v>
      </c>
      <c r="J40" s="483">
        <f t="shared" ref="J40:J56" si="0">I40*E40</f>
        <v>0</v>
      </c>
      <c r="K40" s="823"/>
    </row>
    <row r="41" spans="1:11" s="808" customFormat="1" ht="19.5" thickBot="1">
      <c r="A41" s="208"/>
      <c r="B41" s="209"/>
      <c r="C41" s="209"/>
      <c r="D41" s="1215"/>
      <c r="E41" s="837"/>
      <c r="F41" s="533" t="s">
        <v>719</v>
      </c>
      <c r="G41" s="430" t="s">
        <v>720</v>
      </c>
      <c r="H41" s="791">
        <v>260.68041237113403</v>
      </c>
      <c r="I41" s="18">
        <f t="shared" ref="I41:I56" si="1">H41*(1-10%)</f>
        <v>234.61237113402063</v>
      </c>
      <c r="J41" s="18">
        <f t="shared" si="0"/>
        <v>0</v>
      </c>
      <c r="K41" s="823"/>
    </row>
    <row r="42" spans="1:11" s="808" customFormat="1" ht="19.5" thickBot="1">
      <c r="A42" s="208"/>
      <c r="B42" s="209"/>
      <c r="C42" s="209"/>
      <c r="D42" s="1215"/>
      <c r="E42" s="837"/>
      <c r="F42" s="533" t="s">
        <v>689</v>
      </c>
      <c r="G42" s="430" t="s">
        <v>690</v>
      </c>
      <c r="H42" s="791">
        <v>233.86597938144331</v>
      </c>
      <c r="I42" s="18">
        <f t="shared" si="1"/>
        <v>210.47938144329899</v>
      </c>
      <c r="J42" s="18">
        <f t="shared" si="0"/>
        <v>0</v>
      </c>
      <c r="K42" s="823"/>
    </row>
    <row r="43" spans="1:11" s="808" customFormat="1" ht="19.5" thickBot="1">
      <c r="A43" s="208"/>
      <c r="B43" s="209"/>
      <c r="C43" s="209"/>
      <c r="D43" s="1215"/>
      <c r="E43" s="837"/>
      <c r="F43" s="533" t="s">
        <v>721</v>
      </c>
      <c r="G43" s="430" t="s">
        <v>688</v>
      </c>
      <c r="H43" s="791">
        <v>564.06185567010311</v>
      </c>
      <c r="I43" s="18">
        <f t="shared" si="1"/>
        <v>507.6556701030928</v>
      </c>
      <c r="J43" s="18">
        <f t="shared" si="0"/>
        <v>0</v>
      </c>
      <c r="K43" s="823"/>
    </row>
    <row r="44" spans="1:11" s="808" customFormat="1" ht="19.5" thickBot="1">
      <c r="A44" s="208"/>
      <c r="B44" s="209"/>
      <c r="C44" s="209"/>
      <c r="D44" s="1215"/>
      <c r="E44" s="837"/>
      <c r="F44" s="533" t="s">
        <v>570</v>
      </c>
      <c r="G44" s="430" t="s">
        <v>571</v>
      </c>
      <c r="H44" s="791">
        <v>78.051546391752566</v>
      </c>
      <c r="I44" s="18">
        <f t="shared" si="1"/>
        <v>70.24639175257731</v>
      </c>
      <c r="J44" s="18">
        <f t="shared" si="0"/>
        <v>0</v>
      </c>
      <c r="K44" s="823"/>
    </row>
    <row r="45" spans="1:11" s="808" customFormat="1" ht="19.5" thickBot="1">
      <c r="A45" s="208"/>
      <c r="B45" s="209"/>
      <c r="C45" s="209"/>
      <c r="D45" s="1215"/>
      <c r="E45" s="837"/>
      <c r="F45" s="533" t="s">
        <v>574</v>
      </c>
      <c r="G45" s="430" t="s">
        <v>722</v>
      </c>
      <c r="H45" s="791">
        <v>447.7216494845361</v>
      </c>
      <c r="I45" s="18">
        <f t="shared" si="1"/>
        <v>402.94948453608248</v>
      </c>
      <c r="J45" s="18"/>
      <c r="K45" s="823"/>
    </row>
    <row r="46" spans="1:11" s="808" customFormat="1" ht="19.5" thickBot="1">
      <c r="A46" s="208"/>
      <c r="B46" s="209"/>
      <c r="C46" s="209"/>
      <c r="D46" s="1215"/>
      <c r="E46" s="837"/>
      <c r="F46" s="533" t="s">
        <v>576</v>
      </c>
      <c r="G46" s="430" t="s">
        <v>723</v>
      </c>
      <c r="H46" s="791">
        <v>665.68041237113403</v>
      </c>
      <c r="I46" s="18">
        <f t="shared" si="1"/>
        <v>599.11237113402069</v>
      </c>
      <c r="J46" s="18">
        <f t="shared" si="0"/>
        <v>0</v>
      </c>
      <c r="K46" s="823"/>
    </row>
    <row r="47" spans="1:11" s="808" customFormat="1" ht="19.5" thickBot="1">
      <c r="A47" s="208"/>
      <c r="B47" s="209"/>
      <c r="C47" s="209"/>
      <c r="D47" s="1215"/>
      <c r="E47" s="837"/>
      <c r="F47" s="533" t="s">
        <v>578</v>
      </c>
      <c r="G47" s="430" t="s">
        <v>724</v>
      </c>
      <c r="H47" s="791">
        <v>234.16494845360825</v>
      </c>
      <c r="I47" s="18">
        <f>H47*(1-10%)</f>
        <v>210.74845360824742</v>
      </c>
      <c r="J47" s="18"/>
      <c r="K47" s="823"/>
    </row>
    <row r="48" spans="1:11" s="808" customFormat="1" ht="19.5" thickBot="1">
      <c r="A48" s="208"/>
      <c r="B48" s="209"/>
      <c r="C48" s="209"/>
      <c r="D48" s="1215"/>
      <c r="E48" s="837"/>
      <c r="F48" s="533" t="s">
        <v>580</v>
      </c>
      <c r="G48" s="430" t="s">
        <v>581</v>
      </c>
      <c r="H48" s="791">
        <v>297.49484536082474</v>
      </c>
      <c r="I48" s="18">
        <f>H48*(1-10%)</f>
        <v>267.74536082474225</v>
      </c>
      <c r="J48" s="18">
        <f>I48*E48</f>
        <v>0</v>
      </c>
      <c r="K48" s="823"/>
    </row>
    <row r="49" spans="1:11" s="808" customFormat="1" ht="19.5" thickBot="1">
      <c r="A49" s="208"/>
      <c r="B49" s="209"/>
      <c r="C49" s="209"/>
      <c r="D49" s="1215"/>
      <c r="E49" s="837"/>
      <c r="F49" s="792" t="s">
        <v>582</v>
      </c>
      <c r="G49" s="430" t="s">
        <v>583</v>
      </c>
      <c r="H49" s="791">
        <v>297.49484536082474</v>
      </c>
      <c r="I49" s="18">
        <f t="shared" si="1"/>
        <v>267.74536082474225</v>
      </c>
      <c r="J49" s="18">
        <f t="shared" si="0"/>
        <v>0</v>
      </c>
      <c r="K49" s="823"/>
    </row>
    <row r="50" spans="1:11" s="808" customFormat="1" ht="19.5" thickBot="1">
      <c r="A50" s="208"/>
      <c r="B50" s="209"/>
      <c r="C50" s="209"/>
      <c r="D50" s="1215"/>
      <c r="E50" s="837"/>
      <c r="F50" s="210" t="s">
        <v>584</v>
      </c>
      <c r="G50" s="430" t="s">
        <v>585</v>
      </c>
      <c r="H50" s="791">
        <v>297.49484536082474</v>
      </c>
      <c r="I50" s="18">
        <f t="shared" si="1"/>
        <v>267.74536082474225</v>
      </c>
      <c r="J50" s="18">
        <f t="shared" si="0"/>
        <v>0</v>
      </c>
      <c r="K50" s="823"/>
    </row>
    <row r="51" spans="1:11" s="808" customFormat="1" ht="19.5" thickBot="1">
      <c r="A51" s="208"/>
      <c r="B51" s="209"/>
      <c r="C51" s="209"/>
      <c r="D51" s="1215"/>
      <c r="E51" s="837"/>
      <c r="F51" s="210" t="s">
        <v>586</v>
      </c>
      <c r="G51" s="430" t="s">
        <v>587</v>
      </c>
      <c r="H51" s="791">
        <v>297.49484536082474</v>
      </c>
      <c r="I51" s="18">
        <f t="shared" si="1"/>
        <v>267.74536082474225</v>
      </c>
      <c r="J51" s="18">
        <f t="shared" si="0"/>
        <v>0</v>
      </c>
      <c r="K51" s="823"/>
    </row>
    <row r="52" spans="1:11" s="808" customFormat="1" ht="19.5" thickBot="1">
      <c r="A52" s="208"/>
      <c r="B52" s="209"/>
      <c r="C52" s="209"/>
      <c r="D52" s="1215"/>
      <c r="E52" s="837"/>
      <c r="F52" s="210" t="s">
        <v>615</v>
      </c>
      <c r="G52" s="430" t="s">
        <v>616</v>
      </c>
      <c r="H52" s="791">
        <v>92.783505154639172</v>
      </c>
      <c r="I52" s="18">
        <f t="shared" si="1"/>
        <v>83.505154639175259</v>
      </c>
      <c r="J52" s="18">
        <f t="shared" si="0"/>
        <v>0</v>
      </c>
      <c r="K52" s="823"/>
    </row>
    <row r="53" spans="1:11" s="808" customFormat="1" ht="19.5" thickBot="1">
      <c r="A53" s="208"/>
      <c r="B53" s="209"/>
      <c r="C53" s="209"/>
      <c r="D53" s="1215"/>
      <c r="E53" s="837"/>
      <c r="F53" s="533" t="s">
        <v>617</v>
      </c>
      <c r="G53" s="430" t="s">
        <v>618</v>
      </c>
      <c r="H53" s="791">
        <v>92.783505154639172</v>
      </c>
      <c r="I53" s="18">
        <f t="shared" si="1"/>
        <v>83.505154639175259</v>
      </c>
      <c r="J53" s="18">
        <f t="shared" si="0"/>
        <v>0</v>
      </c>
      <c r="K53" s="823"/>
    </row>
    <row r="54" spans="1:11" s="808" customFormat="1" ht="19.5" thickBot="1">
      <c r="A54" s="208"/>
      <c r="B54" s="209"/>
      <c r="C54" s="209"/>
      <c r="D54" s="1215"/>
      <c r="E54" s="837"/>
      <c r="F54" s="533" t="s">
        <v>588</v>
      </c>
      <c r="G54" s="430" t="s">
        <v>589</v>
      </c>
      <c r="H54" s="791">
        <v>41.237113402061858</v>
      </c>
      <c r="I54" s="18">
        <f t="shared" si="1"/>
        <v>37.113402061855673</v>
      </c>
      <c r="J54" s="18">
        <f t="shared" si="0"/>
        <v>0</v>
      </c>
      <c r="K54" s="823"/>
    </row>
    <row r="55" spans="1:11" s="808" customFormat="1" ht="19.5" thickBot="1">
      <c r="A55" s="208"/>
      <c r="B55" s="209"/>
      <c r="C55" s="209"/>
      <c r="D55" s="1215"/>
      <c r="E55" s="837"/>
      <c r="F55" s="533" t="s">
        <v>621</v>
      </c>
      <c r="G55" s="430" t="s">
        <v>622</v>
      </c>
      <c r="H55" s="791">
        <v>220.91752577319588</v>
      </c>
      <c r="I55" s="18">
        <f t="shared" si="1"/>
        <v>198.82577319587628</v>
      </c>
      <c r="J55" s="18">
        <f t="shared" si="0"/>
        <v>0</v>
      </c>
      <c r="K55" s="823"/>
    </row>
    <row r="56" spans="1:11" s="808" customFormat="1" ht="37.5" thickBot="1">
      <c r="A56" s="208"/>
      <c r="B56" s="209"/>
      <c r="C56" s="209"/>
      <c r="D56" s="1216"/>
      <c r="E56" s="837"/>
      <c r="F56" s="533" t="s">
        <v>619</v>
      </c>
      <c r="G56" s="534" t="s">
        <v>725</v>
      </c>
      <c r="H56" s="791">
        <v>64.80412371134021</v>
      </c>
      <c r="I56" s="18">
        <f t="shared" si="1"/>
        <v>58.323711340206188</v>
      </c>
      <c r="J56" s="18">
        <f t="shared" si="0"/>
        <v>0</v>
      </c>
      <c r="K56" s="823"/>
    </row>
    <row r="57" spans="1:11" ht="23.25">
      <c r="C57" s="269"/>
      <c r="D57" s="829"/>
      <c r="E57" s="1243" t="s">
        <v>65</v>
      </c>
      <c r="F57" s="1020"/>
      <c r="G57" s="1020"/>
      <c r="H57" s="1020"/>
      <c r="I57" s="1020"/>
      <c r="J57" s="830">
        <f>SUM(J40:J56)+J38</f>
        <v>0</v>
      </c>
    </row>
    <row r="58" spans="1:11" ht="15.75">
      <c r="C58" s="269"/>
      <c r="D58" s="283"/>
      <c r="E58" s="832"/>
      <c r="F58" s="832"/>
    </row>
    <row r="59" spans="1:11" ht="15.75">
      <c r="C59" s="269"/>
      <c r="D59" s="283"/>
      <c r="E59" s="832"/>
      <c r="F59" s="832"/>
    </row>
    <row r="63" spans="1:11">
      <c r="B63" s="258"/>
      <c r="C63" s="258"/>
    </row>
  </sheetData>
  <mergeCells count="17">
    <mergeCell ref="E26:F26"/>
    <mergeCell ref="G26:H26"/>
    <mergeCell ref="A4:J4"/>
    <mergeCell ref="A5:J5"/>
    <mergeCell ref="G10:I10"/>
    <mergeCell ref="E24:H24"/>
    <mergeCell ref="E25:H25"/>
    <mergeCell ref="E36:J36"/>
    <mergeCell ref="D39:J39"/>
    <mergeCell ref="D40:D56"/>
    <mergeCell ref="E57:I57"/>
    <mergeCell ref="E27:F27"/>
    <mergeCell ref="G27:H27"/>
    <mergeCell ref="E28:F28"/>
    <mergeCell ref="G28:H28"/>
    <mergeCell ref="E29:H29"/>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59B01-A1B6-4CF5-9B45-BD6617907F10}">
  <sheetPr>
    <tabColor rgb="FFFF0000"/>
  </sheetPr>
  <dimension ref="A1:M45"/>
  <sheetViews>
    <sheetView topLeftCell="E13" zoomScale="77" zoomScaleNormal="77"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23.7109375" style="333" customWidth="1"/>
    <col min="7" max="7" width="54.5703125" style="333" customWidth="1"/>
    <col min="8" max="8" width="22.42578125" style="256" customWidth="1"/>
    <col min="9" max="9" width="20.85546875" style="256" customWidth="1"/>
    <col min="10" max="10" width="23" style="256" customWidth="1"/>
    <col min="11" max="16384" width="8.85546875" style="256"/>
  </cols>
  <sheetData>
    <row r="1" spans="1:10" ht="13.5" thickBot="1">
      <c r="B1" s="257"/>
      <c r="C1" s="257"/>
      <c r="D1" s="258"/>
      <c r="E1" s="258"/>
      <c r="F1" s="259"/>
      <c r="G1" s="259"/>
      <c r="H1" s="259"/>
      <c r="I1" s="259"/>
      <c r="J1" s="259"/>
    </row>
    <row r="2" spans="1:10" ht="9" customHeight="1">
      <c r="A2" s="260"/>
      <c r="B2" s="261"/>
      <c r="C2" s="261"/>
      <c r="D2" s="262"/>
      <c r="E2" s="262"/>
      <c r="F2" s="263"/>
      <c r="G2" s="263"/>
      <c r="H2" s="263"/>
      <c r="I2" s="264"/>
      <c r="J2" s="264"/>
    </row>
    <row r="3" spans="1:10" ht="10.5" customHeight="1">
      <c r="B3" s="257"/>
      <c r="C3" s="257"/>
      <c r="D3" s="258"/>
      <c r="E3" s="258"/>
      <c r="F3" s="259"/>
      <c r="G3" s="259"/>
      <c r="H3" s="259"/>
      <c r="I3" s="265"/>
      <c r="J3" s="265"/>
    </row>
    <row r="4" spans="1:10" ht="34.5">
      <c r="A4" s="1227" t="s">
        <v>726</v>
      </c>
      <c r="B4" s="1020"/>
      <c r="C4" s="1020"/>
      <c r="D4" s="1020"/>
      <c r="E4" s="1020"/>
      <c r="F4" s="1020"/>
      <c r="G4" s="1020"/>
      <c r="H4" s="1020"/>
      <c r="I4" s="1020"/>
      <c r="J4" s="1020"/>
    </row>
    <row r="5" spans="1:10" s="266" customFormat="1" ht="58.5" customHeight="1">
      <c r="A5" s="1228" t="s">
        <v>727</v>
      </c>
      <c r="B5" s="1229"/>
      <c r="C5" s="1229"/>
      <c r="D5" s="1229"/>
      <c r="E5" s="1229"/>
      <c r="F5" s="1229"/>
      <c r="G5" s="1229"/>
      <c r="H5" s="1229"/>
      <c r="I5" s="1229"/>
      <c r="J5" s="1229"/>
    </row>
    <row r="6" spans="1:10" ht="9" customHeight="1" thickBot="1">
      <c r="A6" s="267"/>
      <c r="B6" s="553"/>
      <c r="C6" s="553"/>
      <c r="D6" s="554"/>
      <c r="E6" s="554"/>
      <c r="F6" s="555"/>
      <c r="G6" s="555"/>
      <c r="H6" s="555"/>
      <c r="I6" s="506"/>
      <c r="J6" s="506"/>
    </row>
    <row r="9" spans="1:10" s="265" customFormat="1" ht="14.25">
      <c r="B9" s="268"/>
      <c r="C9" s="268"/>
      <c r="D9" s="269"/>
      <c r="E9" s="269"/>
      <c r="F9" s="269"/>
      <c r="G9" s="269"/>
      <c r="H9" s="269"/>
      <c r="I9" s="269"/>
      <c r="J9" s="269"/>
    </row>
    <row r="10" spans="1:10" s="265" customFormat="1" ht="18">
      <c r="F10" s="507"/>
      <c r="G10" s="1230" t="s">
        <v>0</v>
      </c>
      <c r="H10" s="1230"/>
      <c r="I10" s="1230"/>
    </row>
    <row r="11" spans="1:10" s="265" customFormat="1" ht="18">
      <c r="F11" s="519"/>
      <c r="G11" s="284" t="s">
        <v>1</v>
      </c>
      <c r="H11" s="802" t="s">
        <v>728</v>
      </c>
      <c r="I11" s="803"/>
    </row>
    <row r="12" spans="1:10" s="265" customFormat="1" ht="18">
      <c r="F12" s="519"/>
      <c r="G12" s="284" t="s">
        <v>3</v>
      </c>
      <c r="H12" s="802" t="s">
        <v>504</v>
      </c>
      <c r="I12" s="803"/>
    </row>
    <row r="13" spans="1:10" s="265" customFormat="1" ht="18">
      <c r="F13" s="804"/>
      <c r="G13" s="284" t="s">
        <v>7</v>
      </c>
      <c r="H13" s="805">
        <v>40000</v>
      </c>
      <c r="I13" s="806"/>
    </row>
    <row r="14" spans="1:10" s="265" customFormat="1" ht="18">
      <c r="F14" s="804"/>
      <c r="G14" s="284" t="s">
        <v>8</v>
      </c>
      <c r="H14" s="802" t="s">
        <v>729</v>
      </c>
      <c r="I14" s="803"/>
    </row>
    <row r="15" spans="1:10" s="265" customFormat="1" ht="18">
      <c r="A15" s="799"/>
      <c r="B15" s="256"/>
      <c r="C15" s="256"/>
      <c r="D15" s="256"/>
      <c r="E15" s="256"/>
      <c r="F15" s="315"/>
      <c r="G15" s="284" t="s">
        <v>10</v>
      </c>
      <c r="H15" s="802" t="s">
        <v>594</v>
      </c>
      <c r="I15" s="803"/>
    </row>
    <row r="16" spans="1:10" s="265" customFormat="1" ht="18">
      <c r="A16" s="547"/>
      <c r="B16" s="256"/>
      <c r="C16" s="256"/>
      <c r="E16" s="256"/>
      <c r="F16" s="315"/>
      <c r="G16" s="284" t="s">
        <v>185</v>
      </c>
      <c r="H16" s="802" t="s">
        <v>730</v>
      </c>
      <c r="I16" s="803"/>
    </row>
    <row r="17" spans="1:13" s="265" customFormat="1" ht="18">
      <c r="F17" s="804"/>
      <c r="G17" s="284" t="s">
        <v>18</v>
      </c>
      <c r="H17" s="802" t="s">
        <v>596</v>
      </c>
      <c r="I17" s="803"/>
    </row>
    <row r="18" spans="1:13" s="265" customFormat="1" ht="18">
      <c r="F18" s="804"/>
      <c r="G18" s="284" t="s">
        <v>22</v>
      </c>
      <c r="H18" s="802" t="s">
        <v>731</v>
      </c>
      <c r="I18" s="803"/>
    </row>
    <row r="19" spans="1:13" s="265" customFormat="1" ht="18">
      <c r="F19" s="269"/>
      <c r="G19" s="284" t="s">
        <v>24</v>
      </c>
      <c r="H19" s="802" t="s">
        <v>732</v>
      </c>
      <c r="I19" s="803"/>
    </row>
    <row r="20" spans="1:13" s="265" customFormat="1" ht="15.75" customHeight="1">
      <c r="D20" s="277"/>
      <c r="E20" s="277"/>
      <c r="F20" s="269"/>
      <c r="G20" s="284" t="s">
        <v>26</v>
      </c>
      <c r="H20" s="802" t="s">
        <v>733</v>
      </c>
      <c r="I20" s="803"/>
    </row>
    <row r="21" spans="1:13" s="265" customFormat="1" ht="18">
      <c r="D21" s="277"/>
      <c r="E21" s="277"/>
      <c r="F21" s="269"/>
      <c r="G21" s="284" t="s">
        <v>28</v>
      </c>
      <c r="H21" s="802" t="s">
        <v>734</v>
      </c>
      <c r="I21" s="803"/>
    </row>
    <row r="22" spans="1:13" s="265" customFormat="1" ht="18">
      <c r="D22" s="277"/>
      <c r="E22" s="277"/>
      <c r="F22" s="269"/>
      <c r="G22" s="284"/>
      <c r="H22" s="802"/>
      <c r="I22" s="803"/>
    </row>
    <row r="23" spans="1:13" s="265" customFormat="1" ht="12.6" customHeight="1" thickBot="1">
      <c r="D23" s="277"/>
      <c r="E23" s="277"/>
      <c r="F23" s="834"/>
      <c r="G23" s="835"/>
      <c r="H23" s="802"/>
      <c r="I23" s="803"/>
    </row>
    <row r="24" spans="1:13" s="808" customFormat="1" ht="18">
      <c r="A24" s="547"/>
      <c r="B24" s="547"/>
      <c r="C24" s="547"/>
      <c r="D24" s="807"/>
      <c r="E24" s="1231" t="s">
        <v>30</v>
      </c>
      <c r="F24" s="1232"/>
      <c r="G24" s="1232"/>
      <c r="H24" s="1233"/>
      <c r="I24" s="807"/>
      <c r="J24" s="807"/>
      <c r="K24" s="849"/>
      <c r="L24" s="807"/>
      <c r="M24" s="807"/>
    </row>
    <row r="25" spans="1:13" s="808" customFormat="1" ht="17.45" customHeight="1">
      <c r="A25" s="547"/>
      <c r="B25" s="547"/>
      <c r="C25" s="547"/>
      <c r="D25" s="257"/>
      <c r="E25" s="1234" t="s">
        <v>715</v>
      </c>
      <c r="F25" s="1235"/>
      <c r="G25" s="1235"/>
      <c r="H25" s="1236"/>
      <c r="I25" s="256"/>
      <c r="J25" s="256"/>
      <c r="K25" s="850"/>
    </row>
    <row r="26" spans="1:13" s="808" customFormat="1" ht="17.45" customHeight="1">
      <c r="A26" s="547"/>
      <c r="B26" s="547"/>
      <c r="C26" s="547"/>
      <c r="D26" s="257"/>
      <c r="E26" s="1219" t="s">
        <v>33</v>
      </c>
      <c r="F26" s="1220"/>
      <c r="G26" s="1246" t="s">
        <v>34</v>
      </c>
      <c r="H26" s="1247"/>
      <c r="I26" s="811"/>
      <c r="J26" s="811"/>
      <c r="K26" s="850"/>
    </row>
    <row r="27" spans="1:13" s="808" customFormat="1" ht="17.45" customHeight="1">
      <c r="A27" s="547"/>
      <c r="B27" s="547"/>
      <c r="C27" s="547"/>
      <c r="D27" s="257"/>
      <c r="E27" s="1219" t="s">
        <v>36</v>
      </c>
      <c r="F27" s="1220"/>
      <c r="G27" s="1244">
        <v>50</v>
      </c>
      <c r="H27" s="1245"/>
      <c r="I27" s="256"/>
      <c r="J27" s="256"/>
      <c r="K27" s="850"/>
    </row>
    <row r="28" spans="1:13" s="808" customFormat="1" ht="17.45" customHeight="1">
      <c r="A28" s="547"/>
      <c r="B28" s="547"/>
      <c r="C28" s="547"/>
      <c r="D28" s="257"/>
      <c r="E28" s="1219" t="s">
        <v>37</v>
      </c>
      <c r="F28" s="1220"/>
      <c r="G28" s="1246" t="s">
        <v>547</v>
      </c>
      <c r="H28" s="1247"/>
      <c r="I28" s="256"/>
      <c r="J28" s="256"/>
      <c r="K28" s="850"/>
    </row>
    <row r="29" spans="1:13" s="808" customFormat="1" ht="17.649999999999999" customHeight="1" thickBot="1">
      <c r="A29" s="547"/>
      <c r="B29" s="547"/>
      <c r="C29" s="547"/>
      <c r="D29" s="547"/>
      <c r="E29" s="1221" t="s">
        <v>548</v>
      </c>
      <c r="F29" s="1222"/>
      <c r="G29" s="1222"/>
      <c r="H29" s="1223"/>
      <c r="I29" s="547"/>
      <c r="J29" s="547"/>
      <c r="K29" s="850"/>
    </row>
    <row r="30" spans="1:13" s="265" customFormat="1" ht="12.75" customHeight="1">
      <c r="D30" s="277"/>
      <c r="E30" s="277"/>
      <c r="F30" s="329"/>
      <c r="G30" s="256"/>
      <c r="H30" s="256"/>
      <c r="I30" s="256"/>
      <c r="J30" s="256"/>
    </row>
    <row r="31" spans="1:13" s="265" customFormat="1" ht="12.75" customHeight="1">
      <c r="D31" s="277"/>
      <c r="E31" s="277"/>
      <c r="F31" s="329"/>
      <c r="G31" s="256"/>
      <c r="H31" s="256"/>
      <c r="I31" s="256"/>
      <c r="J31" s="256"/>
    </row>
    <row r="32" spans="1:13" s="265" customFormat="1" ht="12.75" customHeight="1">
      <c r="B32" s="577"/>
      <c r="C32" s="577"/>
      <c r="D32" s="277"/>
      <c r="E32" s="277"/>
      <c r="F32" s="277"/>
      <c r="G32" s="277"/>
      <c r="H32" s="277"/>
      <c r="I32" s="277"/>
      <c r="J32" s="283"/>
    </row>
    <row r="33" spans="2:10" s="265" customFormat="1" ht="12.75" customHeight="1">
      <c r="D33" s="277"/>
      <c r="E33" s="277"/>
      <c r="F33" s="329"/>
      <c r="G33" s="256"/>
      <c r="H33" s="256"/>
      <c r="I33" s="256"/>
      <c r="J33" s="256"/>
    </row>
    <row r="34" spans="2:10" s="265" customFormat="1" ht="12.75" customHeight="1">
      <c r="D34" s="277"/>
      <c r="E34" s="277"/>
      <c r="F34" s="329"/>
      <c r="G34" s="256"/>
      <c r="H34" s="256"/>
      <c r="I34" s="256"/>
      <c r="J34" s="256"/>
    </row>
    <row r="35" spans="2:10" s="265" customFormat="1" ht="18" customHeight="1" thickBot="1">
      <c r="C35" s="277"/>
      <c r="D35" s="283"/>
      <c r="E35" s="284"/>
      <c r="F35" s="256"/>
      <c r="G35" s="1224"/>
      <c r="H35" s="1088"/>
      <c r="I35" s="287"/>
      <c r="J35" s="288"/>
    </row>
    <row r="36" spans="2:10" s="265" customFormat="1" ht="15.75" customHeight="1" thickBot="1">
      <c r="E36" s="1063" t="s">
        <v>43</v>
      </c>
      <c r="F36" s="1101"/>
      <c r="G36" s="1003"/>
      <c r="H36" s="1003"/>
      <c r="I36" s="1003"/>
      <c r="J36" s="1025"/>
    </row>
    <row r="37" spans="2:10" s="813" customFormat="1" ht="59.25" thickBot="1">
      <c r="D37" s="814" t="s">
        <v>549</v>
      </c>
      <c r="E37" s="814" t="s">
        <v>46</v>
      </c>
      <c r="F37" s="814" t="s">
        <v>47</v>
      </c>
      <c r="G37" s="814" t="s">
        <v>48</v>
      </c>
      <c r="H37" s="814" t="s">
        <v>49</v>
      </c>
      <c r="I37" s="814" t="s">
        <v>50</v>
      </c>
      <c r="J37" s="814" t="s">
        <v>51</v>
      </c>
    </row>
    <row r="38" spans="2:10" s="815" customFormat="1" ht="96.4" customHeight="1" thickBot="1">
      <c r="D38" s="816">
        <v>27</v>
      </c>
      <c r="E38" s="816"/>
      <c r="F38" s="435" t="s">
        <v>735</v>
      </c>
      <c r="G38" s="852" t="s">
        <v>736</v>
      </c>
      <c r="H38" s="818">
        <v>393.87</v>
      </c>
      <c r="I38" s="819">
        <f>SUM(H38:H38)*(1-15%)</f>
        <v>334.78949999999998</v>
      </c>
      <c r="J38" s="819">
        <f>I38*E38</f>
        <v>0</v>
      </c>
    </row>
    <row r="39" spans="2:10" ht="23.25">
      <c r="C39" s="269"/>
      <c r="D39" s="829"/>
      <c r="E39" s="1243" t="s">
        <v>65</v>
      </c>
      <c r="F39" s="1020"/>
      <c r="G39" s="1020"/>
      <c r="H39" s="1020"/>
      <c r="I39" s="1020"/>
      <c r="J39" s="830">
        <f>J38</f>
        <v>0</v>
      </c>
    </row>
    <row r="40" spans="2:10" ht="15.75">
      <c r="C40" s="269"/>
      <c r="D40" s="283"/>
      <c r="E40" s="832"/>
      <c r="F40" s="832"/>
    </row>
    <row r="41" spans="2:10" ht="15.75">
      <c r="C41" s="269"/>
      <c r="D41" s="283"/>
      <c r="E41" s="832"/>
      <c r="F41" s="832"/>
    </row>
    <row r="45" spans="2:10">
      <c r="B45" s="258"/>
      <c r="C45" s="258"/>
    </row>
  </sheetData>
  <mergeCells count="15">
    <mergeCell ref="E26:F26"/>
    <mergeCell ref="G26:H26"/>
    <mergeCell ref="A4:J4"/>
    <mergeCell ref="A5:J5"/>
    <mergeCell ref="G10:I10"/>
    <mergeCell ref="E24:H24"/>
    <mergeCell ref="E25:H25"/>
    <mergeCell ref="E36:J36"/>
    <mergeCell ref="E39:I39"/>
    <mergeCell ref="E27:F27"/>
    <mergeCell ref="G27:H27"/>
    <mergeCell ref="E28:F28"/>
    <mergeCell ref="G28:H28"/>
    <mergeCell ref="E29:H29"/>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60F62-D183-4580-A07E-AE5B74AAF4DD}">
  <sheetPr>
    <tabColor rgb="FF006600"/>
  </sheetPr>
  <dimension ref="A1:M52"/>
  <sheetViews>
    <sheetView topLeftCell="A13" zoomScale="65" zoomScaleNormal="65"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54.5703125" style="333" customWidth="1"/>
    <col min="8" max="8" width="22.42578125" style="256" customWidth="1"/>
    <col min="9" max="9" width="20.85546875" style="256" customWidth="1"/>
    <col min="10" max="10" width="23" style="256" customWidth="1"/>
    <col min="11" max="11" width="13.140625" style="256" bestFit="1" customWidth="1"/>
    <col min="12" max="16384" width="8.85546875" style="256"/>
  </cols>
  <sheetData>
    <row r="1" spans="1:10" ht="13.5" thickBot="1">
      <c r="B1" s="257"/>
      <c r="C1" s="257"/>
      <c r="D1" s="258"/>
      <c r="E1" s="258"/>
      <c r="F1" s="259"/>
      <c r="G1" s="259"/>
      <c r="H1" s="259"/>
      <c r="I1" s="259"/>
      <c r="J1" s="259"/>
    </row>
    <row r="2" spans="1:10" ht="9" customHeight="1">
      <c r="A2" s="260"/>
      <c r="B2" s="261"/>
      <c r="C2" s="261"/>
      <c r="D2" s="262"/>
      <c r="E2" s="262"/>
      <c r="F2" s="263"/>
      <c r="G2" s="263"/>
      <c r="H2" s="263"/>
      <c r="I2" s="264"/>
      <c r="J2" s="264"/>
    </row>
    <row r="3" spans="1:10" ht="10.5" customHeight="1">
      <c r="B3" s="257"/>
      <c r="C3" s="257"/>
      <c r="D3" s="258"/>
      <c r="E3" s="258"/>
      <c r="F3" s="259"/>
      <c r="G3" s="259"/>
      <c r="H3" s="259"/>
      <c r="I3" s="265"/>
      <c r="J3" s="265"/>
    </row>
    <row r="4" spans="1:10" ht="34.5">
      <c r="A4" s="1227" t="s">
        <v>737</v>
      </c>
      <c r="B4" s="1020"/>
      <c r="C4" s="1020"/>
      <c r="D4" s="1020"/>
      <c r="E4" s="1020"/>
      <c r="F4" s="1020"/>
      <c r="G4" s="1020"/>
      <c r="H4" s="1020"/>
      <c r="I4" s="1020"/>
      <c r="J4" s="1020"/>
    </row>
    <row r="5" spans="1:10" s="266" customFormat="1" ht="58.5" customHeight="1">
      <c r="A5" s="1228" t="s">
        <v>738</v>
      </c>
      <c r="B5" s="1229"/>
      <c r="C5" s="1229"/>
      <c r="D5" s="1229"/>
      <c r="E5" s="1229"/>
      <c r="F5" s="1229"/>
      <c r="G5" s="1229"/>
      <c r="H5" s="1229"/>
      <c r="I5" s="1229"/>
      <c r="J5" s="1229"/>
    </row>
    <row r="6" spans="1:10" ht="9" customHeight="1" thickBot="1">
      <c r="A6" s="267"/>
      <c r="B6" s="553"/>
      <c r="C6" s="553"/>
      <c r="D6" s="554"/>
      <c r="E6" s="554"/>
      <c r="F6" s="555"/>
      <c r="G6" s="555"/>
      <c r="H6" s="555"/>
      <c r="I6" s="506"/>
      <c r="J6" s="506"/>
    </row>
    <row r="9" spans="1:10" s="265" customFormat="1" ht="14.25">
      <c r="B9" s="268"/>
      <c r="C9" s="268"/>
      <c r="D9" s="269"/>
      <c r="E9" s="269"/>
      <c r="F9" s="269"/>
      <c r="G9" s="269"/>
      <c r="H9" s="269"/>
      <c r="I9" s="269"/>
      <c r="J9" s="269"/>
    </row>
    <row r="10" spans="1:10" s="265" customFormat="1" ht="18">
      <c r="F10" s="507"/>
      <c r="G10" s="1230" t="s">
        <v>0</v>
      </c>
      <c r="H10" s="1230"/>
      <c r="I10" s="1230"/>
    </row>
    <row r="11" spans="1:10" s="265" customFormat="1" ht="18">
      <c r="F11" s="519"/>
      <c r="G11" s="284" t="s">
        <v>1</v>
      </c>
      <c r="H11" s="802" t="s">
        <v>553</v>
      </c>
      <c r="I11" s="803"/>
    </row>
    <row r="12" spans="1:10" s="265" customFormat="1" ht="18">
      <c r="F12" s="519"/>
      <c r="G12" s="284" t="s">
        <v>3</v>
      </c>
      <c r="H12" s="802" t="s">
        <v>708</v>
      </c>
      <c r="I12" s="803"/>
    </row>
    <row r="13" spans="1:10" s="265" customFormat="1" ht="18">
      <c r="F13" s="804"/>
      <c r="G13" s="284" t="s">
        <v>7</v>
      </c>
      <c r="H13" s="805">
        <v>150000</v>
      </c>
      <c r="I13" s="806"/>
    </row>
    <row r="14" spans="1:10" s="265" customFormat="1" ht="18">
      <c r="F14" s="804"/>
      <c r="G14" s="284" t="s">
        <v>8</v>
      </c>
      <c r="H14" s="802" t="s">
        <v>739</v>
      </c>
      <c r="I14" s="803"/>
    </row>
    <row r="15" spans="1:10" s="265" customFormat="1" ht="18">
      <c r="A15" s="799"/>
      <c r="B15" s="256"/>
      <c r="C15" s="256"/>
      <c r="D15" s="256"/>
      <c r="E15" s="256"/>
      <c r="F15" s="315"/>
      <c r="G15" s="284" t="s">
        <v>10</v>
      </c>
      <c r="H15" s="802" t="s">
        <v>11</v>
      </c>
      <c r="I15" s="803"/>
    </row>
    <row r="16" spans="1:10" s="265" customFormat="1" ht="18">
      <c r="A16" s="547"/>
      <c r="B16" s="256"/>
      <c r="C16" s="256"/>
      <c r="E16" s="256"/>
      <c r="F16" s="315"/>
      <c r="G16" s="284" t="s">
        <v>185</v>
      </c>
      <c r="H16" s="802" t="s">
        <v>740</v>
      </c>
      <c r="I16" s="803"/>
    </row>
    <row r="17" spans="1:13" s="265" customFormat="1" ht="18">
      <c r="F17" s="804"/>
      <c r="G17" s="284" t="s">
        <v>18</v>
      </c>
      <c r="H17" s="802" t="s">
        <v>19</v>
      </c>
      <c r="I17" s="803"/>
    </row>
    <row r="18" spans="1:13" s="265" customFormat="1" ht="18">
      <c r="F18" s="804"/>
      <c r="G18" s="284" t="s">
        <v>20</v>
      </c>
      <c r="H18" s="802" t="s">
        <v>607</v>
      </c>
      <c r="I18" s="803"/>
    </row>
    <row r="19" spans="1:13" s="265" customFormat="1" ht="18">
      <c r="F19" s="269"/>
      <c r="G19" s="284" t="s">
        <v>22</v>
      </c>
      <c r="H19" s="802" t="s">
        <v>608</v>
      </c>
      <c r="I19" s="803"/>
    </row>
    <row r="20" spans="1:13" s="265" customFormat="1" ht="15.75" customHeight="1">
      <c r="D20" s="277"/>
      <c r="E20" s="277"/>
      <c r="F20" s="269"/>
      <c r="G20" s="284" t="s">
        <v>24</v>
      </c>
      <c r="H20" s="802" t="s">
        <v>559</v>
      </c>
      <c r="I20" s="803"/>
    </row>
    <row r="21" spans="1:13" s="265" customFormat="1" ht="18">
      <c r="D21" s="277"/>
      <c r="E21" s="277"/>
      <c r="F21" s="269"/>
      <c r="G21" s="284" t="s">
        <v>26</v>
      </c>
      <c r="H21" s="802" t="s">
        <v>741</v>
      </c>
      <c r="I21" s="803"/>
    </row>
    <row r="22" spans="1:13" s="265" customFormat="1" ht="18">
      <c r="D22" s="277"/>
      <c r="E22" s="277"/>
      <c r="F22" s="269"/>
      <c r="G22" s="284" t="s">
        <v>28</v>
      </c>
      <c r="H22" s="802" t="s">
        <v>742</v>
      </c>
      <c r="I22" s="803"/>
    </row>
    <row r="23" spans="1:13" s="265" customFormat="1" ht="12.6" customHeight="1" thickBot="1">
      <c r="D23" s="277"/>
      <c r="E23" s="277"/>
      <c r="F23" s="834"/>
      <c r="G23" s="835"/>
      <c r="H23" s="802"/>
      <c r="I23" s="803"/>
    </row>
    <row r="24" spans="1:13" s="808" customFormat="1" ht="18">
      <c r="A24" s="547"/>
      <c r="B24" s="547"/>
      <c r="C24" s="547"/>
      <c r="D24" s="807"/>
      <c r="E24" s="1231" t="s">
        <v>30</v>
      </c>
      <c r="F24" s="1232"/>
      <c r="G24" s="1232"/>
      <c r="H24" s="1233"/>
      <c r="I24" s="807"/>
      <c r="J24" s="807"/>
      <c r="K24" s="849"/>
      <c r="L24" s="807"/>
      <c r="M24" s="807"/>
    </row>
    <row r="25" spans="1:13" s="808" customFormat="1" ht="17.45" customHeight="1">
      <c r="A25" s="547"/>
      <c r="B25" s="547"/>
      <c r="C25" s="547"/>
      <c r="D25" s="257"/>
      <c r="E25" s="1234" t="s">
        <v>743</v>
      </c>
      <c r="F25" s="1235"/>
      <c r="G25" s="1235"/>
      <c r="H25" s="1236"/>
      <c r="I25" s="256"/>
      <c r="J25" s="256"/>
      <c r="K25" s="850"/>
    </row>
    <row r="26" spans="1:13" s="808" customFormat="1" ht="17.45" customHeight="1">
      <c r="A26" s="547"/>
      <c r="B26" s="547"/>
      <c r="C26" s="547"/>
      <c r="D26" s="257"/>
      <c r="E26" s="1219" t="s">
        <v>33</v>
      </c>
      <c r="F26" s="1220"/>
      <c r="G26" s="1246" t="s">
        <v>34</v>
      </c>
      <c r="H26" s="1247"/>
      <c r="I26" s="811"/>
      <c r="J26" s="811"/>
      <c r="K26" s="850"/>
    </row>
    <row r="27" spans="1:13" s="808" customFormat="1" ht="17.45" customHeight="1">
      <c r="A27" s="547"/>
      <c r="B27" s="547"/>
      <c r="C27" s="547"/>
      <c r="D27" s="257"/>
      <c r="E27" s="1219" t="s">
        <v>36</v>
      </c>
      <c r="F27" s="1220"/>
      <c r="G27" s="1244">
        <v>300</v>
      </c>
      <c r="H27" s="1245"/>
      <c r="I27" s="256"/>
      <c r="J27" s="256"/>
      <c r="K27" s="850"/>
    </row>
    <row r="28" spans="1:13" s="808" customFormat="1" ht="17.45" customHeight="1">
      <c r="A28" s="547"/>
      <c r="B28" s="547"/>
      <c r="C28" s="547"/>
      <c r="D28" s="257"/>
      <c r="E28" s="1219" t="s">
        <v>37</v>
      </c>
      <c r="F28" s="1220"/>
      <c r="G28" s="1246" t="s">
        <v>547</v>
      </c>
      <c r="H28" s="1247"/>
      <c r="I28" s="256"/>
      <c r="J28" s="256"/>
      <c r="K28" s="850"/>
    </row>
    <row r="29" spans="1:13" s="808" customFormat="1" ht="17.649999999999999" customHeight="1" thickBot="1">
      <c r="A29" s="547"/>
      <c r="B29" s="547"/>
      <c r="C29" s="547"/>
      <c r="D29" s="547"/>
      <c r="E29" s="1221" t="s">
        <v>548</v>
      </c>
      <c r="F29" s="1222"/>
      <c r="G29" s="1222"/>
      <c r="H29" s="1223"/>
      <c r="I29" s="547"/>
      <c r="J29" s="547"/>
      <c r="K29" s="850"/>
    </row>
    <row r="30" spans="1:13" s="265" customFormat="1" ht="12.75" customHeight="1">
      <c r="D30" s="277"/>
      <c r="E30" s="277"/>
      <c r="F30" s="329"/>
      <c r="G30" s="256"/>
      <c r="H30" s="256"/>
      <c r="I30" s="256"/>
      <c r="J30" s="256"/>
    </row>
    <row r="31" spans="1:13" s="265" customFormat="1" ht="12.75" customHeight="1">
      <c r="D31" s="277"/>
      <c r="E31" s="277"/>
      <c r="F31" s="329"/>
      <c r="G31" s="256"/>
      <c r="H31" s="256"/>
      <c r="I31" s="256"/>
      <c r="J31" s="256"/>
    </row>
    <row r="32" spans="1:13" s="265" customFormat="1" ht="12.75" customHeight="1">
      <c r="B32" s="577"/>
      <c r="C32" s="577"/>
      <c r="D32" s="277"/>
      <c r="E32" s="277"/>
      <c r="F32" s="277"/>
      <c r="G32" s="277"/>
      <c r="H32" s="277"/>
      <c r="I32" s="277"/>
      <c r="J32" s="283"/>
    </row>
    <row r="33" spans="1:11" s="265" customFormat="1" ht="12.75" customHeight="1">
      <c r="D33" s="277"/>
      <c r="E33" s="277"/>
      <c r="F33" s="329"/>
      <c r="G33" s="256"/>
      <c r="H33" s="256"/>
      <c r="I33" s="256"/>
      <c r="J33" s="256"/>
    </row>
    <row r="34" spans="1:11" s="265" customFormat="1" ht="12.75" customHeight="1">
      <c r="D34" s="277"/>
      <c r="E34" s="277"/>
      <c r="F34" s="329"/>
      <c r="G34" s="256"/>
      <c r="H34" s="256"/>
      <c r="I34" s="256"/>
      <c r="J34" s="256"/>
    </row>
    <row r="35" spans="1:11" s="265" customFormat="1" ht="18" customHeight="1" thickBot="1">
      <c r="C35" s="277"/>
      <c r="D35" s="283"/>
      <c r="E35" s="284"/>
      <c r="F35" s="256"/>
      <c r="G35" s="1224"/>
      <c r="H35" s="1088"/>
      <c r="I35" s="287"/>
      <c r="J35" s="288"/>
    </row>
    <row r="36" spans="1:11" s="265" customFormat="1" ht="15.75" customHeight="1" thickBot="1">
      <c r="E36" s="1063" t="s">
        <v>43</v>
      </c>
      <c r="F36" s="1101"/>
      <c r="G36" s="1003"/>
      <c r="H36" s="1003"/>
      <c r="I36" s="1003"/>
      <c r="J36" s="1025"/>
    </row>
    <row r="37" spans="1:11" s="813" customFormat="1" ht="59.25" thickBot="1">
      <c r="D37" s="814" t="s">
        <v>549</v>
      </c>
      <c r="E37" s="814" t="s">
        <v>46</v>
      </c>
      <c r="F37" s="814" t="s">
        <v>47</v>
      </c>
      <c r="G37" s="814" t="s">
        <v>48</v>
      </c>
      <c r="H37" s="814" t="s">
        <v>49</v>
      </c>
      <c r="I37" s="814" t="s">
        <v>50</v>
      </c>
      <c r="J37" s="814" t="s">
        <v>51</v>
      </c>
    </row>
    <row r="38" spans="1:11" s="815" customFormat="1" ht="21" thickBot="1">
      <c r="D38" s="816">
        <v>28</v>
      </c>
      <c r="E38" s="816"/>
      <c r="F38" s="207" t="s">
        <v>744</v>
      </c>
      <c r="G38" s="851" t="s">
        <v>745</v>
      </c>
      <c r="H38" s="818">
        <v>3089.36</v>
      </c>
      <c r="I38" s="819">
        <f>SUM(H38:H38)*(1-50%)</f>
        <v>1544.68</v>
      </c>
      <c r="J38" s="819">
        <f>I38*E38</f>
        <v>0</v>
      </c>
    </row>
    <row r="39" spans="1:11" s="808" customFormat="1" ht="19.5" thickBot="1">
      <c r="A39" s="208"/>
      <c r="B39" s="209"/>
      <c r="C39" s="209"/>
      <c r="D39" s="1225" t="s">
        <v>59</v>
      </c>
      <c r="E39" s="1226"/>
      <c r="F39" s="1226"/>
      <c r="G39" s="1226"/>
      <c r="H39" s="1226"/>
      <c r="I39" s="1226"/>
      <c r="J39" s="1226"/>
    </row>
    <row r="40" spans="1:11" s="808" customFormat="1" ht="19.5" thickBot="1">
      <c r="A40" s="208"/>
      <c r="B40" s="209"/>
      <c r="C40" s="209"/>
      <c r="D40" s="1215"/>
      <c r="E40" s="820"/>
      <c r="F40" s="789" t="s">
        <v>746</v>
      </c>
      <c r="G40" s="486" t="s">
        <v>567</v>
      </c>
      <c r="H40" s="790">
        <v>400.58762886597941</v>
      </c>
      <c r="I40" s="483">
        <f t="shared" ref="I40:I45" si="0">H40*(1-10%)</f>
        <v>360.52886597938146</v>
      </c>
      <c r="J40" s="483">
        <f t="shared" ref="J40:J45" si="1">I40*E40</f>
        <v>0</v>
      </c>
      <c r="K40" s="823"/>
    </row>
    <row r="41" spans="1:11" s="808" customFormat="1" ht="19.5" thickBot="1">
      <c r="A41" s="208"/>
      <c r="B41" s="209"/>
      <c r="C41" s="209"/>
      <c r="D41" s="1215"/>
      <c r="E41" s="837"/>
      <c r="F41" s="533" t="s">
        <v>747</v>
      </c>
      <c r="G41" s="430" t="s">
        <v>748</v>
      </c>
      <c r="H41" s="791">
        <v>396.17525773195882</v>
      </c>
      <c r="I41" s="18">
        <f t="shared" si="0"/>
        <v>356.55773195876293</v>
      </c>
      <c r="J41" s="18">
        <f t="shared" si="1"/>
        <v>0</v>
      </c>
      <c r="K41" s="823"/>
    </row>
    <row r="42" spans="1:11" s="808" customFormat="1" ht="19.5" thickBot="1">
      <c r="A42" s="208"/>
      <c r="B42" s="209"/>
      <c r="C42" s="209"/>
      <c r="D42" s="1215"/>
      <c r="E42" s="837"/>
      <c r="F42" s="533" t="s">
        <v>749</v>
      </c>
      <c r="G42" s="430" t="s">
        <v>750</v>
      </c>
      <c r="H42" s="791">
        <v>234.16494845360825</v>
      </c>
      <c r="I42" s="18">
        <f t="shared" si="0"/>
        <v>210.74845360824742</v>
      </c>
      <c r="J42" s="18">
        <f t="shared" si="1"/>
        <v>0</v>
      </c>
      <c r="K42" s="823"/>
    </row>
    <row r="43" spans="1:11" s="808" customFormat="1" ht="19.5" thickBot="1">
      <c r="A43" s="208"/>
      <c r="B43" s="209"/>
      <c r="C43" s="209"/>
      <c r="D43" s="1215"/>
      <c r="E43" s="837"/>
      <c r="F43" s="533" t="s">
        <v>751</v>
      </c>
      <c r="G43" s="430" t="s">
        <v>752</v>
      </c>
      <c r="H43" s="791">
        <v>116.35051546391753</v>
      </c>
      <c r="I43" s="18">
        <f t="shared" si="0"/>
        <v>104.71546391752578</v>
      </c>
      <c r="J43" s="18"/>
      <c r="K43" s="823"/>
    </row>
    <row r="44" spans="1:11" s="808" customFormat="1" ht="19.5" thickBot="1">
      <c r="A44" s="208"/>
      <c r="B44" s="209"/>
      <c r="C44" s="209"/>
      <c r="D44" s="1215"/>
      <c r="E44" s="837"/>
      <c r="F44" s="533" t="s">
        <v>721</v>
      </c>
      <c r="G44" s="430" t="s">
        <v>753</v>
      </c>
      <c r="H44" s="791">
        <v>564.06185567010311</v>
      </c>
      <c r="I44" s="18">
        <f t="shared" si="0"/>
        <v>507.6556701030928</v>
      </c>
      <c r="J44" s="18">
        <f t="shared" si="1"/>
        <v>0</v>
      </c>
      <c r="K44" s="823"/>
    </row>
    <row r="45" spans="1:11" s="808" customFormat="1" ht="19.5" thickBot="1">
      <c r="A45" s="208"/>
      <c r="B45" s="209"/>
      <c r="C45" s="209"/>
      <c r="D45" s="1216"/>
      <c r="E45" s="837"/>
      <c r="F45" s="533" t="s">
        <v>588</v>
      </c>
      <c r="G45" s="534" t="s">
        <v>589</v>
      </c>
      <c r="H45" s="791">
        <v>41.237113402061858</v>
      </c>
      <c r="I45" s="18">
        <f t="shared" si="0"/>
        <v>37.113402061855673</v>
      </c>
      <c r="J45" s="18">
        <f t="shared" si="1"/>
        <v>0</v>
      </c>
      <c r="K45" s="823"/>
    </row>
    <row r="46" spans="1:11" ht="23.25">
      <c r="C46" s="269"/>
      <c r="D46" s="829"/>
      <c r="E46" s="1243" t="s">
        <v>65</v>
      </c>
      <c r="F46" s="1020"/>
      <c r="G46" s="1020"/>
      <c r="H46" s="1020"/>
      <c r="I46" s="1020"/>
      <c r="J46" s="830">
        <f>SUM(J40:J45)+J38</f>
        <v>0</v>
      </c>
    </row>
    <row r="47" spans="1:11" ht="15.75">
      <c r="C47" s="269"/>
      <c r="D47" s="283"/>
      <c r="E47" s="832"/>
      <c r="F47" s="832"/>
    </row>
    <row r="48" spans="1:11" ht="15.75">
      <c r="C48" s="269"/>
      <c r="D48" s="283"/>
      <c r="E48" s="832"/>
      <c r="F48" s="832"/>
    </row>
    <row r="52" spans="2:3">
      <c r="B52" s="258"/>
      <c r="C52" s="258"/>
    </row>
  </sheetData>
  <mergeCells count="17">
    <mergeCell ref="E26:F26"/>
    <mergeCell ref="G26:H26"/>
    <mergeCell ref="A4:J4"/>
    <mergeCell ref="A5:J5"/>
    <mergeCell ref="G10:I10"/>
    <mergeCell ref="E24:H24"/>
    <mergeCell ref="E25:H25"/>
    <mergeCell ref="E36:J36"/>
    <mergeCell ref="D39:J39"/>
    <mergeCell ref="D40:D45"/>
    <mergeCell ref="E46:I46"/>
    <mergeCell ref="E27:F27"/>
    <mergeCell ref="G27:H27"/>
    <mergeCell ref="E28:F28"/>
    <mergeCell ref="G28:H28"/>
    <mergeCell ref="E29:H29"/>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4C25-5862-4402-A9F1-07CB86D15A11}">
  <sheetPr>
    <tabColor rgb="FFFF0000"/>
  </sheetPr>
  <dimension ref="A1:M42"/>
  <sheetViews>
    <sheetView topLeftCell="A4" zoomScale="65" zoomScaleNormal="65" workbookViewId="0">
      <selection activeCell="A5" sqref="A5:N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21.5703125" style="333" customWidth="1"/>
    <col min="7" max="7" width="54.5703125" style="333" customWidth="1"/>
    <col min="8" max="8" width="22.42578125" style="256" customWidth="1"/>
    <col min="9" max="9" width="20.85546875" style="256" customWidth="1"/>
    <col min="10" max="10" width="23" style="256" customWidth="1"/>
    <col min="11" max="16384" width="8.85546875" style="256"/>
  </cols>
  <sheetData>
    <row r="1" spans="1:10" ht="13.5" thickBot="1">
      <c r="B1" s="257"/>
      <c r="C1" s="257"/>
      <c r="D1" s="258"/>
      <c r="E1" s="258"/>
      <c r="F1" s="259"/>
      <c r="G1" s="259"/>
      <c r="H1" s="259"/>
      <c r="I1" s="259"/>
      <c r="J1" s="259"/>
    </row>
    <row r="2" spans="1:10" ht="9" customHeight="1">
      <c r="A2" s="260"/>
      <c r="B2" s="261"/>
      <c r="C2" s="261"/>
      <c r="D2" s="262"/>
      <c r="E2" s="262"/>
      <c r="F2" s="263"/>
      <c r="G2" s="263"/>
      <c r="H2" s="263"/>
      <c r="I2" s="264"/>
      <c r="J2" s="264"/>
    </row>
    <row r="3" spans="1:10" ht="10.5" customHeight="1">
      <c r="B3" s="257"/>
      <c r="C3" s="257"/>
      <c r="D3" s="258"/>
      <c r="E3" s="258"/>
      <c r="F3" s="259"/>
      <c r="G3" s="259"/>
      <c r="H3" s="259"/>
      <c r="I3" s="265"/>
      <c r="J3" s="265"/>
    </row>
    <row r="4" spans="1:10" ht="34.5">
      <c r="A4" s="1227" t="s">
        <v>754</v>
      </c>
      <c r="B4" s="1020"/>
      <c r="C4" s="1020"/>
      <c r="D4" s="1020"/>
      <c r="E4" s="1020"/>
      <c r="F4" s="1020"/>
      <c r="G4" s="1020"/>
      <c r="H4" s="1020"/>
      <c r="I4" s="1020"/>
      <c r="J4" s="1020"/>
    </row>
    <row r="5" spans="1:10" s="266" customFormat="1" ht="58.5" customHeight="1">
      <c r="A5" s="1228" t="s">
        <v>755</v>
      </c>
      <c r="B5" s="1229"/>
      <c r="C5" s="1229"/>
      <c r="D5" s="1229"/>
      <c r="E5" s="1229"/>
      <c r="F5" s="1229"/>
      <c r="G5" s="1229"/>
      <c r="H5" s="1229"/>
      <c r="I5" s="1229"/>
      <c r="J5" s="1229"/>
    </row>
    <row r="6" spans="1:10" ht="9" customHeight="1" thickBot="1">
      <c r="A6" s="267"/>
      <c r="B6" s="553"/>
      <c r="C6" s="553"/>
      <c r="D6" s="554"/>
      <c r="E6" s="554"/>
      <c r="F6" s="555"/>
      <c r="G6" s="555"/>
      <c r="H6" s="555"/>
      <c r="I6" s="506"/>
      <c r="J6" s="506"/>
    </row>
    <row r="9" spans="1:10" s="265" customFormat="1" ht="14.25">
      <c r="B9" s="268"/>
      <c r="C9" s="268"/>
      <c r="D9" s="269"/>
      <c r="E9" s="269"/>
      <c r="F9" s="269"/>
      <c r="G9" s="269"/>
      <c r="H9" s="269"/>
      <c r="I9" s="269"/>
      <c r="J9" s="269"/>
    </row>
    <row r="10" spans="1:10" s="265" customFormat="1" ht="18">
      <c r="F10" s="507"/>
      <c r="G10" s="1230" t="s">
        <v>0</v>
      </c>
      <c r="H10" s="1230"/>
      <c r="I10" s="1230"/>
    </row>
    <row r="11" spans="1:10" s="265" customFormat="1" ht="18">
      <c r="F11" s="519"/>
      <c r="G11" s="284" t="s">
        <v>1</v>
      </c>
      <c r="H11" s="802" t="s">
        <v>728</v>
      </c>
      <c r="I11" s="803"/>
    </row>
    <row r="12" spans="1:10" s="265" customFormat="1" ht="18">
      <c r="F12" s="519"/>
      <c r="G12" s="284" t="s">
        <v>3</v>
      </c>
      <c r="H12" s="802" t="s">
        <v>504</v>
      </c>
      <c r="I12" s="803"/>
    </row>
    <row r="13" spans="1:10" s="265" customFormat="1" ht="18">
      <c r="F13" s="804"/>
      <c r="G13" s="284" t="s">
        <v>7</v>
      </c>
      <c r="H13" s="805">
        <v>50000</v>
      </c>
      <c r="I13" s="806"/>
    </row>
    <row r="14" spans="1:10" s="265" customFormat="1" ht="18">
      <c r="F14" s="804"/>
      <c r="G14" s="284" t="s">
        <v>8</v>
      </c>
      <c r="H14" s="802" t="s">
        <v>756</v>
      </c>
      <c r="I14" s="803"/>
    </row>
    <row r="15" spans="1:10" s="265" customFormat="1" ht="18">
      <c r="A15" s="799"/>
      <c r="B15" s="256"/>
      <c r="C15" s="256"/>
      <c r="D15" s="256"/>
      <c r="E15" s="256"/>
      <c r="F15" s="315"/>
      <c r="G15" s="284" t="s">
        <v>10</v>
      </c>
      <c r="H15" s="802" t="s">
        <v>85</v>
      </c>
      <c r="I15" s="803"/>
    </row>
    <row r="16" spans="1:10" s="265" customFormat="1" ht="18">
      <c r="A16" s="547"/>
      <c r="B16" s="256"/>
      <c r="C16" s="256"/>
      <c r="E16" s="256"/>
      <c r="F16" s="315"/>
      <c r="G16" s="284" t="s">
        <v>185</v>
      </c>
      <c r="H16" s="802" t="s">
        <v>757</v>
      </c>
      <c r="I16" s="803"/>
    </row>
    <row r="17" spans="1:13" s="265" customFormat="1" ht="18">
      <c r="F17" s="804"/>
      <c r="G17" s="284" t="s">
        <v>18</v>
      </c>
      <c r="H17" s="802" t="s">
        <v>596</v>
      </c>
      <c r="I17" s="803"/>
    </row>
    <row r="18" spans="1:13" s="265" customFormat="1" ht="18">
      <c r="F18" s="804"/>
      <c r="G18" s="284" t="s">
        <v>22</v>
      </c>
      <c r="H18" s="802" t="s">
        <v>731</v>
      </c>
      <c r="I18" s="803"/>
    </row>
    <row r="19" spans="1:13" s="265" customFormat="1" ht="18">
      <c r="F19" s="269"/>
      <c r="G19" s="284" t="s">
        <v>24</v>
      </c>
      <c r="H19" s="802" t="s">
        <v>758</v>
      </c>
      <c r="I19" s="803"/>
    </row>
    <row r="20" spans="1:13" s="265" customFormat="1" ht="15.75" customHeight="1">
      <c r="D20" s="277"/>
      <c r="E20" s="277"/>
      <c r="F20" s="269"/>
      <c r="G20" s="284" t="s">
        <v>26</v>
      </c>
      <c r="H20" s="802" t="s">
        <v>759</v>
      </c>
      <c r="I20" s="803"/>
    </row>
    <row r="21" spans="1:13" s="265" customFormat="1" ht="18">
      <c r="D21" s="277"/>
      <c r="E21" s="277"/>
      <c r="F21" s="269"/>
      <c r="G21" s="284" t="s">
        <v>28</v>
      </c>
      <c r="H21" s="802" t="s">
        <v>760</v>
      </c>
      <c r="I21" s="803"/>
    </row>
    <row r="22" spans="1:13" s="265" customFormat="1" ht="18.75" thickBot="1">
      <c r="D22" s="277"/>
      <c r="E22" s="277"/>
      <c r="F22" s="269"/>
      <c r="G22" s="284"/>
      <c r="H22" s="802"/>
      <c r="I22" s="803"/>
    </row>
    <row r="23" spans="1:13" s="808" customFormat="1" ht="18">
      <c r="A23" s="547"/>
      <c r="B23" s="547"/>
      <c r="C23" s="547"/>
      <c r="D23" s="807"/>
      <c r="E23" s="1231" t="s">
        <v>30</v>
      </c>
      <c r="F23" s="1232"/>
      <c r="G23" s="1232"/>
      <c r="H23" s="1233"/>
      <c r="I23" s="807"/>
      <c r="J23" s="807"/>
      <c r="K23" s="849"/>
      <c r="L23" s="807"/>
      <c r="M23" s="807"/>
    </row>
    <row r="24" spans="1:13" s="808" customFormat="1" ht="17.45" customHeight="1">
      <c r="A24" s="547"/>
      <c r="B24" s="547"/>
      <c r="C24" s="547"/>
      <c r="D24" s="257"/>
      <c r="E24" s="1234" t="s">
        <v>743</v>
      </c>
      <c r="F24" s="1235"/>
      <c r="G24" s="1235"/>
      <c r="H24" s="1236"/>
      <c r="I24" s="256"/>
      <c r="J24" s="256"/>
      <c r="K24" s="850"/>
    </row>
    <row r="25" spans="1:13" s="808" customFormat="1" ht="17.45" customHeight="1">
      <c r="A25" s="547"/>
      <c r="B25" s="547"/>
      <c r="C25" s="547"/>
      <c r="D25" s="257"/>
      <c r="E25" s="1219" t="s">
        <v>33</v>
      </c>
      <c r="F25" s="1220"/>
      <c r="G25" s="1246" t="s">
        <v>34</v>
      </c>
      <c r="H25" s="1247"/>
      <c r="I25" s="811"/>
      <c r="J25" s="811"/>
      <c r="K25" s="850"/>
    </row>
    <row r="26" spans="1:13" s="808" customFormat="1" ht="17.45" customHeight="1">
      <c r="A26" s="547"/>
      <c r="B26" s="547"/>
      <c r="C26" s="547"/>
      <c r="D26" s="257"/>
      <c r="E26" s="1219" t="s">
        <v>36</v>
      </c>
      <c r="F26" s="1220"/>
      <c r="G26" s="1244">
        <v>50</v>
      </c>
      <c r="H26" s="1245"/>
      <c r="I26" s="256"/>
      <c r="J26" s="256"/>
      <c r="K26" s="850"/>
    </row>
    <row r="27" spans="1:13" s="808" customFormat="1" ht="17.45" customHeight="1">
      <c r="A27" s="547"/>
      <c r="B27" s="547"/>
      <c r="C27" s="547"/>
      <c r="D27" s="257"/>
      <c r="E27" s="1219" t="s">
        <v>37</v>
      </c>
      <c r="F27" s="1220"/>
      <c r="G27" s="1246" t="s">
        <v>547</v>
      </c>
      <c r="H27" s="1247"/>
      <c r="I27" s="256"/>
      <c r="J27" s="256"/>
      <c r="K27" s="850"/>
    </row>
    <row r="28" spans="1:13" s="808" customFormat="1" ht="17.649999999999999" customHeight="1" thickBot="1">
      <c r="A28" s="547"/>
      <c r="B28" s="547"/>
      <c r="C28" s="547"/>
      <c r="D28" s="547"/>
      <c r="E28" s="1221" t="s">
        <v>548</v>
      </c>
      <c r="F28" s="1222"/>
      <c r="G28" s="1222"/>
      <c r="H28" s="1223"/>
      <c r="I28" s="547"/>
      <c r="J28" s="547"/>
      <c r="K28" s="850"/>
    </row>
    <row r="29" spans="1:13" s="265" customFormat="1" ht="12.75" customHeight="1">
      <c r="D29" s="277"/>
      <c r="E29" s="277"/>
      <c r="F29" s="329"/>
      <c r="G29" s="256"/>
      <c r="H29" s="256"/>
      <c r="I29" s="256"/>
      <c r="J29" s="256"/>
    </row>
    <row r="30" spans="1:13" s="265" customFormat="1" ht="18" customHeight="1" thickBot="1">
      <c r="C30" s="277"/>
      <c r="D30" s="283"/>
      <c r="E30" s="284"/>
      <c r="F30" s="256"/>
      <c r="G30" s="1224"/>
      <c r="H30" s="1088"/>
      <c r="I30" s="287"/>
      <c r="J30" s="288"/>
    </row>
    <row r="31" spans="1:13" s="265" customFormat="1" ht="15.75" customHeight="1" thickBot="1">
      <c r="E31" s="1063" t="s">
        <v>43</v>
      </c>
      <c r="F31" s="1101"/>
      <c r="G31" s="1003"/>
      <c r="H31" s="1003"/>
      <c r="I31" s="1003"/>
      <c r="J31" s="1025"/>
    </row>
    <row r="32" spans="1:13" s="813" customFormat="1" ht="59.25" thickBot="1">
      <c r="D32" s="814" t="s">
        <v>549</v>
      </c>
      <c r="E32" s="814" t="s">
        <v>46</v>
      </c>
      <c r="F32" s="814" t="s">
        <v>47</v>
      </c>
      <c r="G32" s="814" t="s">
        <v>48</v>
      </c>
      <c r="H32" s="814" t="s">
        <v>49</v>
      </c>
      <c r="I32" s="814" t="s">
        <v>50</v>
      </c>
      <c r="J32" s="814" t="s">
        <v>51</v>
      </c>
    </row>
    <row r="33" spans="1:10" s="815" customFormat="1" ht="91.9" customHeight="1" thickBot="1">
      <c r="D33" s="816">
        <v>28</v>
      </c>
      <c r="E33" s="816"/>
      <c r="F33" s="207" t="s">
        <v>761</v>
      </c>
      <c r="G33" s="853" t="s">
        <v>754</v>
      </c>
      <c r="H33" s="818">
        <v>565.13</v>
      </c>
      <c r="I33" s="819">
        <f>SUM(H33:H33)*(1-30%)</f>
        <v>395.59099999999995</v>
      </c>
      <c r="J33" s="819">
        <f>I33*E33</f>
        <v>0</v>
      </c>
    </row>
    <row r="34" spans="1:10" s="808" customFormat="1" ht="19.5" thickBot="1">
      <c r="A34" s="208"/>
      <c r="B34" s="209"/>
      <c r="C34" s="209"/>
      <c r="D34" s="1225" t="s">
        <v>59</v>
      </c>
      <c r="E34" s="1226"/>
      <c r="F34" s="1226"/>
      <c r="G34" s="1226"/>
      <c r="H34" s="1226"/>
      <c r="I34" s="1226"/>
      <c r="J34" s="1226"/>
    </row>
    <row r="35" spans="1:10" s="856" customFormat="1" ht="21" thickBot="1">
      <c r="A35" s="436"/>
      <c r="B35" s="437"/>
      <c r="C35" s="437"/>
      <c r="D35" s="854"/>
      <c r="E35" s="855"/>
      <c r="F35" s="487" t="s">
        <v>762</v>
      </c>
      <c r="G35" s="488" t="s">
        <v>763</v>
      </c>
      <c r="H35" s="489">
        <v>185.4</v>
      </c>
      <c r="I35" s="490">
        <f>H35*(1-15%)</f>
        <v>157.59</v>
      </c>
      <c r="J35" s="490">
        <f>I35*E35</f>
        <v>0</v>
      </c>
    </row>
    <row r="36" spans="1:10" ht="23.25">
      <c r="C36" s="269"/>
      <c r="D36" s="829"/>
      <c r="E36" s="1243" t="s">
        <v>65</v>
      </c>
      <c r="F36" s="1020"/>
      <c r="G36" s="1020"/>
      <c r="H36" s="1020"/>
      <c r="I36" s="1020"/>
      <c r="J36" s="830">
        <f>SUM(J35:J35)+J33</f>
        <v>0</v>
      </c>
    </row>
    <row r="37" spans="1:10" ht="15.75">
      <c r="C37" s="269"/>
      <c r="D37" s="283"/>
      <c r="E37" s="832"/>
      <c r="F37" s="832"/>
    </row>
    <row r="38" spans="1:10" ht="15.75">
      <c r="C38" s="269"/>
      <c r="D38" s="283"/>
      <c r="E38" s="832"/>
      <c r="F38" s="832"/>
    </row>
    <row r="42" spans="1:10">
      <c r="B42" s="258"/>
      <c r="C42" s="258"/>
    </row>
  </sheetData>
  <mergeCells count="16">
    <mergeCell ref="E25:F25"/>
    <mergeCell ref="G25:H25"/>
    <mergeCell ref="A4:J4"/>
    <mergeCell ref="A5:J5"/>
    <mergeCell ref="G10:I10"/>
    <mergeCell ref="E23:H23"/>
    <mergeCell ref="E24:H24"/>
    <mergeCell ref="E31:J31"/>
    <mergeCell ref="D34:J34"/>
    <mergeCell ref="E36:I36"/>
    <mergeCell ref="E26:F26"/>
    <mergeCell ref="G26:H26"/>
    <mergeCell ref="E27:F27"/>
    <mergeCell ref="G27:H27"/>
    <mergeCell ref="E28:H28"/>
    <mergeCell ref="G30:H30"/>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0BE78-C307-4E43-B77D-4D3CDA0FCDAE}">
  <sheetPr>
    <tabColor rgb="FF006600"/>
  </sheetPr>
  <dimension ref="A1:K54"/>
  <sheetViews>
    <sheetView topLeftCell="A14" zoomScale="73" zoomScaleNormal="73"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18.28515625" style="333" customWidth="1"/>
    <col min="7" max="7" width="54.5703125" style="333" customWidth="1"/>
    <col min="8" max="8" width="22.42578125" style="256" customWidth="1"/>
    <col min="9" max="9" width="20.85546875" style="256" customWidth="1"/>
    <col min="10" max="10" width="23" style="256" customWidth="1"/>
    <col min="11" max="11" width="16" style="256" bestFit="1" customWidth="1"/>
    <col min="12" max="16384" width="8.85546875" style="256"/>
  </cols>
  <sheetData>
    <row r="1" spans="1:10" ht="13.5" thickBot="1">
      <c r="B1" s="257"/>
      <c r="C1" s="257"/>
      <c r="D1" s="258"/>
      <c r="E1" s="258"/>
      <c r="F1" s="259"/>
      <c r="G1" s="259"/>
      <c r="H1" s="259"/>
      <c r="I1" s="259"/>
      <c r="J1" s="259"/>
    </row>
    <row r="2" spans="1:10" ht="9" customHeight="1">
      <c r="A2" s="260"/>
      <c r="B2" s="261"/>
      <c r="C2" s="261"/>
      <c r="D2" s="262"/>
      <c r="E2" s="262"/>
      <c r="F2" s="263"/>
      <c r="G2" s="263"/>
      <c r="H2" s="263"/>
      <c r="I2" s="264"/>
      <c r="J2" s="264"/>
    </row>
    <row r="3" spans="1:10" ht="10.5" customHeight="1">
      <c r="B3" s="257"/>
      <c r="C3" s="257"/>
      <c r="D3" s="258"/>
      <c r="E3" s="258"/>
      <c r="F3" s="259"/>
      <c r="G3" s="259"/>
      <c r="H3" s="259"/>
      <c r="I3" s="265"/>
      <c r="J3" s="265"/>
    </row>
    <row r="4" spans="1:10" ht="34.5">
      <c r="A4" s="1227" t="s">
        <v>764</v>
      </c>
      <c r="B4" s="1020"/>
      <c r="C4" s="1020"/>
      <c r="D4" s="1020"/>
      <c r="E4" s="1020"/>
      <c r="F4" s="1020"/>
      <c r="G4" s="1020"/>
      <c r="H4" s="1020"/>
      <c r="I4" s="1020"/>
      <c r="J4" s="1020"/>
    </row>
    <row r="5" spans="1:10" s="266" customFormat="1" ht="58.5" customHeight="1">
      <c r="A5" s="1228" t="s">
        <v>765</v>
      </c>
      <c r="B5" s="1229"/>
      <c r="C5" s="1229"/>
      <c r="D5" s="1229"/>
      <c r="E5" s="1229"/>
      <c r="F5" s="1229"/>
      <c r="G5" s="1229"/>
      <c r="H5" s="1229"/>
      <c r="I5" s="1229"/>
      <c r="J5" s="1229"/>
    </row>
    <row r="6" spans="1:10" ht="9" customHeight="1" thickBot="1">
      <c r="A6" s="267"/>
      <c r="B6" s="553"/>
      <c r="C6" s="553"/>
      <c r="D6" s="554"/>
      <c r="E6" s="554"/>
      <c r="F6" s="555"/>
      <c r="G6" s="555"/>
      <c r="H6" s="555"/>
      <c r="I6" s="506"/>
      <c r="J6" s="506"/>
    </row>
    <row r="9" spans="1:10" s="265" customFormat="1" ht="14.25">
      <c r="B9" s="268"/>
      <c r="C9" s="268"/>
      <c r="D9" s="269"/>
      <c r="E9" s="269"/>
      <c r="F9" s="269"/>
      <c r="G9" s="269"/>
      <c r="H9" s="269"/>
      <c r="I9" s="269"/>
      <c r="J9" s="269"/>
    </row>
    <row r="10" spans="1:10" s="265" customFormat="1" ht="18">
      <c r="F10" s="507"/>
      <c r="G10" s="1230" t="s">
        <v>0</v>
      </c>
      <c r="H10" s="1230"/>
      <c r="I10" s="1230"/>
    </row>
    <row r="11" spans="1:10" s="265" customFormat="1" ht="18">
      <c r="F11" s="519"/>
      <c r="G11" s="284" t="s">
        <v>1</v>
      </c>
      <c r="H11" s="802" t="s">
        <v>553</v>
      </c>
      <c r="I11" s="803"/>
    </row>
    <row r="12" spans="1:10" s="265" customFormat="1" ht="18">
      <c r="F12" s="519"/>
      <c r="G12" s="284" t="s">
        <v>3</v>
      </c>
      <c r="H12" s="802" t="s">
        <v>708</v>
      </c>
      <c r="I12" s="803"/>
    </row>
    <row r="13" spans="1:10" s="265" customFormat="1" ht="18">
      <c r="F13" s="804"/>
      <c r="G13" s="284" t="s">
        <v>7</v>
      </c>
      <c r="H13" s="805">
        <v>200000</v>
      </c>
      <c r="I13" s="806"/>
    </row>
    <row r="14" spans="1:10" s="265" customFormat="1" ht="18">
      <c r="F14" s="804"/>
      <c r="G14" s="284" t="s">
        <v>8</v>
      </c>
      <c r="H14" s="802" t="s">
        <v>766</v>
      </c>
      <c r="I14" s="803"/>
    </row>
    <row r="15" spans="1:10" s="265" customFormat="1" ht="18">
      <c r="A15" s="799"/>
      <c r="B15" s="256"/>
      <c r="C15" s="256"/>
      <c r="D15" s="256"/>
      <c r="E15" s="256"/>
      <c r="F15" s="315"/>
      <c r="G15" s="284" t="s">
        <v>10</v>
      </c>
      <c r="H15" s="802" t="s">
        <v>11</v>
      </c>
      <c r="I15" s="803"/>
    </row>
    <row r="16" spans="1:10" s="265" customFormat="1" ht="18">
      <c r="A16" s="547"/>
      <c r="B16" s="256"/>
      <c r="C16" s="256"/>
      <c r="E16" s="256"/>
      <c r="F16" s="315"/>
      <c r="G16" s="284" t="s">
        <v>185</v>
      </c>
      <c r="H16" s="802" t="s">
        <v>767</v>
      </c>
      <c r="I16" s="803"/>
    </row>
    <row r="17" spans="1:10" s="265" customFormat="1" ht="18">
      <c r="F17" s="804"/>
      <c r="G17" s="284" t="s">
        <v>18</v>
      </c>
      <c r="H17" s="802" t="s">
        <v>19</v>
      </c>
      <c r="I17" s="803"/>
    </row>
    <row r="18" spans="1:10" s="265" customFormat="1" ht="18">
      <c r="F18" s="804"/>
      <c r="G18" s="284" t="s">
        <v>20</v>
      </c>
      <c r="H18" s="802" t="s">
        <v>768</v>
      </c>
      <c r="I18" s="803"/>
    </row>
    <row r="19" spans="1:10" s="265" customFormat="1" ht="18">
      <c r="F19" s="269"/>
      <c r="G19" s="284" t="s">
        <v>22</v>
      </c>
      <c r="H19" s="802" t="s">
        <v>608</v>
      </c>
      <c r="I19" s="803"/>
    </row>
    <row r="20" spans="1:10" s="265" customFormat="1" ht="15.75" customHeight="1">
      <c r="D20" s="277"/>
      <c r="E20" s="277"/>
      <c r="F20" s="269"/>
      <c r="G20" s="284" t="s">
        <v>24</v>
      </c>
      <c r="H20" s="802" t="s">
        <v>559</v>
      </c>
      <c r="I20" s="803"/>
    </row>
    <row r="21" spans="1:10" s="265" customFormat="1" ht="18">
      <c r="D21" s="277"/>
      <c r="E21" s="277"/>
      <c r="F21" s="269"/>
      <c r="G21" s="284" t="s">
        <v>26</v>
      </c>
      <c r="H21" s="802" t="s">
        <v>769</v>
      </c>
      <c r="I21" s="803"/>
    </row>
    <row r="22" spans="1:10" s="265" customFormat="1" ht="18">
      <c r="D22" s="277"/>
      <c r="E22" s="277"/>
      <c r="F22" s="269"/>
      <c r="G22" s="284" t="s">
        <v>28</v>
      </c>
      <c r="H22" s="802" t="s">
        <v>770</v>
      </c>
      <c r="I22" s="803"/>
    </row>
    <row r="23" spans="1:10" s="265" customFormat="1" ht="12.6" customHeight="1">
      <c r="D23" s="277"/>
      <c r="E23" s="277"/>
      <c r="F23" s="834"/>
      <c r="G23" s="835"/>
      <c r="H23" s="802"/>
      <c r="I23" s="803"/>
    </row>
    <row r="24" spans="1:10" s="265" customFormat="1" ht="12.75" customHeight="1" thickBot="1">
      <c r="B24" s="577"/>
      <c r="C24" s="577"/>
      <c r="D24" s="277"/>
      <c r="E24" s="277"/>
      <c r="F24" s="277"/>
      <c r="G24" s="277"/>
      <c r="H24" s="277"/>
      <c r="I24" s="277"/>
      <c r="J24" s="283"/>
    </row>
    <row r="25" spans="1:10" s="808" customFormat="1" ht="18">
      <c r="A25" s="547"/>
      <c r="B25" s="547"/>
      <c r="C25" s="547"/>
      <c r="D25" s="807"/>
      <c r="E25" s="1231" t="s">
        <v>30</v>
      </c>
      <c r="F25" s="1232"/>
      <c r="G25" s="1232"/>
      <c r="H25" s="1233"/>
      <c r="I25" s="807"/>
      <c r="J25" s="807"/>
    </row>
    <row r="26" spans="1:10" s="808" customFormat="1" ht="17.45" customHeight="1">
      <c r="A26" s="547"/>
      <c r="B26" s="547"/>
      <c r="C26" s="547"/>
      <c r="D26" s="257"/>
      <c r="E26" s="1234" t="s">
        <v>771</v>
      </c>
      <c r="F26" s="1235"/>
      <c r="G26" s="1235"/>
      <c r="H26" s="1236"/>
      <c r="I26" s="256"/>
      <c r="J26" s="256"/>
    </row>
    <row r="27" spans="1:10" s="808" customFormat="1" ht="17.45" customHeight="1">
      <c r="A27" s="547"/>
      <c r="B27" s="547"/>
      <c r="C27" s="547"/>
      <c r="D27" s="257"/>
      <c r="E27" s="1219" t="s">
        <v>33</v>
      </c>
      <c r="F27" s="1220"/>
      <c r="G27" s="1246" t="s">
        <v>34</v>
      </c>
      <c r="H27" s="1247"/>
      <c r="I27" s="811"/>
      <c r="J27" s="811"/>
    </row>
    <row r="28" spans="1:10" s="808" customFormat="1" ht="17.45" customHeight="1">
      <c r="A28" s="547"/>
      <c r="B28" s="547"/>
      <c r="C28" s="547"/>
      <c r="D28" s="257"/>
      <c r="E28" s="1219" t="s">
        <v>36</v>
      </c>
      <c r="F28" s="1220"/>
      <c r="G28" s="1244">
        <v>300</v>
      </c>
      <c r="H28" s="1245"/>
      <c r="I28" s="256"/>
      <c r="J28" s="256"/>
    </row>
    <row r="29" spans="1:10" s="808" customFormat="1" ht="17.45" customHeight="1">
      <c r="A29" s="547"/>
      <c r="B29" s="547"/>
      <c r="C29" s="547"/>
      <c r="D29" s="257"/>
      <c r="E29" s="1219" t="s">
        <v>37</v>
      </c>
      <c r="F29" s="1220"/>
      <c r="G29" s="1246" t="s">
        <v>547</v>
      </c>
      <c r="H29" s="1247"/>
      <c r="I29" s="256"/>
      <c r="J29" s="256"/>
    </row>
    <row r="30" spans="1:10" s="808" customFormat="1" ht="17.649999999999999" customHeight="1" thickBot="1">
      <c r="A30" s="547"/>
      <c r="B30" s="547"/>
      <c r="C30" s="547"/>
      <c r="D30" s="547"/>
      <c r="E30" s="1221" t="s">
        <v>548</v>
      </c>
      <c r="F30" s="1222"/>
      <c r="G30" s="1222"/>
      <c r="H30" s="1223"/>
      <c r="I30" s="547"/>
      <c r="J30" s="547"/>
    </row>
    <row r="31" spans="1:10" s="265" customFormat="1" ht="12.75" customHeight="1">
      <c r="D31" s="277"/>
      <c r="E31" s="277"/>
      <c r="F31" s="329"/>
      <c r="G31" s="256"/>
      <c r="H31" s="256"/>
      <c r="I31" s="256"/>
      <c r="J31" s="256"/>
    </row>
    <row r="32" spans="1:10" s="265" customFormat="1" ht="12.75" customHeight="1">
      <c r="B32" s="577"/>
      <c r="C32" s="577"/>
      <c r="D32" s="277"/>
      <c r="E32" s="277"/>
      <c r="F32" s="277"/>
      <c r="G32" s="277"/>
      <c r="H32" s="277"/>
      <c r="I32" s="277"/>
      <c r="J32" s="283"/>
    </row>
    <row r="33" spans="1:11" s="265" customFormat="1" ht="12.75" customHeight="1">
      <c r="D33" s="277"/>
      <c r="E33" s="277"/>
      <c r="F33" s="329"/>
      <c r="G33" s="256"/>
      <c r="H33" s="256"/>
      <c r="I33" s="256"/>
      <c r="J33" s="256"/>
    </row>
    <row r="34" spans="1:11" s="265" customFormat="1" ht="12.75" customHeight="1">
      <c r="D34" s="277"/>
      <c r="E34" s="277"/>
      <c r="F34" s="329"/>
      <c r="G34" s="256"/>
      <c r="H34" s="256"/>
      <c r="I34" s="256"/>
      <c r="J34" s="256"/>
    </row>
    <row r="35" spans="1:11" s="265" customFormat="1" ht="18" customHeight="1" thickBot="1">
      <c r="C35" s="277"/>
      <c r="D35" s="283"/>
      <c r="E35" s="284"/>
      <c r="F35" s="256"/>
      <c r="G35" s="1224"/>
      <c r="H35" s="1088"/>
      <c r="I35" s="287"/>
      <c r="J35" s="288"/>
    </row>
    <row r="36" spans="1:11" s="265" customFormat="1" ht="15.75" customHeight="1" thickBot="1">
      <c r="E36" s="1063" t="s">
        <v>43</v>
      </c>
      <c r="F36" s="1101"/>
      <c r="G36" s="1003"/>
      <c r="H36" s="1003"/>
      <c r="I36" s="1003"/>
      <c r="J36" s="1025"/>
    </row>
    <row r="37" spans="1:11" s="813" customFormat="1" ht="59.25" thickBot="1">
      <c r="D37" s="814" t="s">
        <v>549</v>
      </c>
      <c r="E37" s="814" t="s">
        <v>46</v>
      </c>
      <c r="F37" s="814" t="s">
        <v>47</v>
      </c>
      <c r="G37" s="814" t="s">
        <v>48</v>
      </c>
      <c r="H37" s="814" t="s">
        <v>49</v>
      </c>
      <c r="I37" s="814" t="s">
        <v>50</v>
      </c>
      <c r="J37" s="814" t="s">
        <v>51</v>
      </c>
    </row>
    <row r="38" spans="1:11" s="815" customFormat="1" ht="21" thickBot="1">
      <c r="D38" s="816">
        <v>29</v>
      </c>
      <c r="E38" s="816"/>
      <c r="F38" s="207" t="s">
        <v>772</v>
      </c>
      <c r="G38" s="851" t="s">
        <v>773</v>
      </c>
      <c r="H38" s="818">
        <v>4446.7299999999996</v>
      </c>
      <c r="I38" s="819">
        <f>SUM(H38:H38)*(1-50%)</f>
        <v>2223.3649999999998</v>
      </c>
      <c r="J38" s="819">
        <f>I38*E38</f>
        <v>0</v>
      </c>
    </row>
    <row r="39" spans="1:11" s="808" customFormat="1" ht="19.5" thickBot="1">
      <c r="A39" s="208"/>
      <c r="B39" s="209"/>
      <c r="C39" s="209"/>
      <c r="D39" s="1225" t="s">
        <v>59</v>
      </c>
      <c r="E39" s="1226"/>
      <c r="F39" s="1226"/>
      <c r="G39" s="1226"/>
      <c r="H39" s="1226"/>
      <c r="I39" s="1226"/>
      <c r="J39" s="1226"/>
    </row>
    <row r="40" spans="1:11" s="808" customFormat="1" ht="19.5" thickBot="1">
      <c r="A40" s="208"/>
      <c r="B40" s="209"/>
      <c r="C40" s="209"/>
      <c r="D40" s="1215"/>
      <c r="E40" s="820"/>
      <c r="F40" s="789" t="s">
        <v>774</v>
      </c>
      <c r="G40" s="486" t="s">
        <v>775</v>
      </c>
      <c r="H40" s="790">
        <v>1191.4536082474228</v>
      </c>
      <c r="I40" s="483">
        <f>H40*(1-10%)</f>
        <v>1072.3082474226806</v>
      </c>
      <c r="J40" s="483">
        <f t="shared" ref="J40:J47" si="0">I40*E40</f>
        <v>0</v>
      </c>
      <c r="K40" s="823"/>
    </row>
    <row r="41" spans="1:11" s="808" customFormat="1" ht="19.5" thickBot="1">
      <c r="A41" s="208"/>
      <c r="B41" s="209"/>
      <c r="C41" s="209"/>
      <c r="D41" s="1215"/>
      <c r="E41" s="837"/>
      <c r="F41" s="533" t="s">
        <v>776</v>
      </c>
      <c r="G41" s="430" t="s">
        <v>567</v>
      </c>
      <c r="H41" s="791">
        <v>400.58762886597941</v>
      </c>
      <c r="I41" s="18">
        <f t="shared" ref="I41:I47" si="1">H41*(1-10%)</f>
        <v>360.52886597938146</v>
      </c>
      <c r="J41" s="18">
        <f t="shared" si="0"/>
        <v>0</v>
      </c>
      <c r="K41" s="823"/>
    </row>
    <row r="42" spans="1:11" s="808" customFormat="1" ht="19.5" thickBot="1">
      <c r="A42" s="208"/>
      <c r="B42" s="209"/>
      <c r="C42" s="209"/>
      <c r="D42" s="1215"/>
      <c r="E42" s="837"/>
      <c r="F42" s="533" t="s">
        <v>777</v>
      </c>
      <c r="G42" s="430" t="s">
        <v>778</v>
      </c>
      <c r="H42" s="791">
        <v>400.58762886597941</v>
      </c>
      <c r="I42" s="18">
        <f t="shared" si="1"/>
        <v>360.52886597938146</v>
      </c>
      <c r="J42" s="18">
        <f t="shared" si="0"/>
        <v>0</v>
      </c>
      <c r="K42" s="823"/>
    </row>
    <row r="43" spans="1:11" s="808" customFormat="1" ht="19.5" thickBot="1">
      <c r="A43" s="208"/>
      <c r="B43" s="209"/>
      <c r="C43" s="209"/>
      <c r="D43" s="1215"/>
      <c r="E43" s="837"/>
      <c r="F43" s="533" t="s">
        <v>779</v>
      </c>
      <c r="G43" s="430" t="s">
        <v>780</v>
      </c>
      <c r="H43" s="791">
        <v>462.44329896907215</v>
      </c>
      <c r="I43" s="18">
        <f>H43*(1-10%)</f>
        <v>416.19896907216491</v>
      </c>
      <c r="J43" s="18">
        <f>I43*E43</f>
        <v>0</v>
      </c>
      <c r="K43" s="823"/>
    </row>
    <row r="44" spans="1:11" s="808" customFormat="1" ht="19.5" thickBot="1">
      <c r="A44" s="208"/>
      <c r="B44" s="209"/>
      <c r="C44" s="209"/>
      <c r="D44" s="1215"/>
      <c r="E44" s="837"/>
      <c r="F44" s="533" t="s">
        <v>721</v>
      </c>
      <c r="G44" s="430" t="s">
        <v>781</v>
      </c>
      <c r="H44" s="791">
        <v>564.06185567010311</v>
      </c>
      <c r="I44" s="18">
        <f>H44*(1-10%)</f>
        <v>507.6556701030928</v>
      </c>
      <c r="J44" s="18">
        <f>I44*E44</f>
        <v>0</v>
      </c>
      <c r="K44" s="823"/>
    </row>
    <row r="45" spans="1:11" s="808" customFormat="1" ht="19.5" thickBot="1">
      <c r="A45" s="208"/>
      <c r="B45" s="209"/>
      <c r="C45" s="209"/>
      <c r="D45" s="1215"/>
      <c r="E45" s="837"/>
      <c r="F45" s="533" t="s">
        <v>782</v>
      </c>
      <c r="G45" s="430" t="s">
        <v>783</v>
      </c>
      <c r="H45" s="791">
        <v>462.44329896907215</v>
      </c>
      <c r="I45" s="18">
        <f t="shared" si="1"/>
        <v>416.19896907216491</v>
      </c>
      <c r="J45" s="18"/>
      <c r="K45" s="823"/>
    </row>
    <row r="46" spans="1:11" s="808" customFormat="1" ht="19.5" thickBot="1">
      <c r="A46" s="208"/>
      <c r="B46" s="209"/>
      <c r="C46" s="209"/>
      <c r="D46" s="1215"/>
      <c r="E46" s="837"/>
      <c r="F46" s="533" t="s">
        <v>784</v>
      </c>
      <c r="G46" s="430" t="s">
        <v>785</v>
      </c>
      <c r="H46" s="791">
        <v>131.0721649484536</v>
      </c>
      <c r="I46" s="18">
        <f t="shared" si="1"/>
        <v>117.96494845360824</v>
      </c>
      <c r="J46" s="18">
        <f t="shared" si="0"/>
        <v>0</v>
      </c>
      <c r="K46" s="823"/>
    </row>
    <row r="47" spans="1:11" s="808" customFormat="1" ht="19.5" thickBot="1">
      <c r="A47" s="208"/>
      <c r="B47" s="209"/>
      <c r="C47" s="209"/>
      <c r="D47" s="1216"/>
      <c r="E47" s="837"/>
      <c r="F47" s="533" t="s">
        <v>588</v>
      </c>
      <c r="G47" s="534" t="s">
        <v>589</v>
      </c>
      <c r="H47" s="791">
        <v>41.237113402061858</v>
      </c>
      <c r="I47" s="18">
        <f t="shared" si="1"/>
        <v>37.113402061855673</v>
      </c>
      <c r="J47" s="18">
        <f t="shared" si="0"/>
        <v>0</v>
      </c>
      <c r="K47" s="823"/>
    </row>
    <row r="48" spans="1:11" ht="23.25">
      <c r="C48" s="269"/>
      <c r="D48" s="829"/>
      <c r="E48" s="1243" t="s">
        <v>65</v>
      </c>
      <c r="F48" s="1020"/>
      <c r="G48" s="1020"/>
      <c r="H48" s="1020"/>
      <c r="I48" s="1020"/>
      <c r="J48" s="830">
        <f>SUM(J40:J47)+J38</f>
        <v>0</v>
      </c>
    </row>
    <row r="49" spans="2:6" ht="15.75">
      <c r="C49" s="269"/>
      <c r="D49" s="283"/>
      <c r="E49" s="832"/>
      <c r="F49" s="832"/>
    </row>
    <row r="50" spans="2:6" ht="15.75">
      <c r="C50" s="269"/>
      <c r="D50" s="283"/>
      <c r="E50" s="832"/>
      <c r="F50" s="832"/>
    </row>
    <row r="54" spans="2:6">
      <c r="B54" s="258"/>
      <c r="C54" s="258"/>
    </row>
  </sheetData>
  <mergeCells count="17">
    <mergeCell ref="E27:F27"/>
    <mergeCell ref="G27:H27"/>
    <mergeCell ref="A4:J4"/>
    <mergeCell ref="A5:J5"/>
    <mergeCell ref="G10:I10"/>
    <mergeCell ref="E25:H25"/>
    <mergeCell ref="E26:H26"/>
    <mergeCell ref="E36:J36"/>
    <mergeCell ref="D39:J39"/>
    <mergeCell ref="D40:D47"/>
    <mergeCell ref="E48:I48"/>
    <mergeCell ref="E28:F28"/>
    <mergeCell ref="G28:H28"/>
    <mergeCell ref="E29:F29"/>
    <mergeCell ref="G29:H29"/>
    <mergeCell ref="E30:H30"/>
    <mergeCell ref="G35:H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85426-7E0A-4F82-9CAA-F96569352DFD}">
  <sheetPr>
    <tabColor rgb="FFFF0000"/>
  </sheetPr>
  <dimension ref="A1:M61"/>
  <sheetViews>
    <sheetView topLeftCell="A19" zoomScale="65" zoomScaleNormal="65" workbookViewId="0">
      <selection activeCell="A5" sqref="A5:N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21.7109375" style="333" customWidth="1"/>
    <col min="7" max="7" width="54.5703125" style="333" customWidth="1"/>
    <col min="8" max="8" width="22.42578125" style="256" customWidth="1"/>
    <col min="9" max="9" width="20.85546875" style="256" customWidth="1"/>
    <col min="10" max="10" width="23" style="256" customWidth="1"/>
    <col min="11" max="16384" width="8.85546875" style="256"/>
  </cols>
  <sheetData>
    <row r="1" spans="1:10" ht="13.5" thickBot="1">
      <c r="B1" s="257"/>
      <c r="C1" s="257"/>
      <c r="D1" s="258"/>
      <c r="E1" s="258"/>
      <c r="F1" s="259"/>
      <c r="G1" s="259"/>
      <c r="H1" s="259"/>
      <c r="I1" s="259"/>
      <c r="J1" s="259"/>
    </row>
    <row r="2" spans="1:10" ht="9" customHeight="1">
      <c r="A2" s="260"/>
      <c r="B2" s="261"/>
      <c r="C2" s="261"/>
      <c r="D2" s="262"/>
      <c r="E2" s="262"/>
      <c r="F2" s="263"/>
      <c r="G2" s="263"/>
      <c r="H2" s="263"/>
      <c r="I2" s="264"/>
      <c r="J2" s="264"/>
    </row>
    <row r="3" spans="1:10" ht="10.5" customHeight="1">
      <c r="B3" s="257"/>
      <c r="C3" s="257"/>
      <c r="D3" s="258"/>
      <c r="E3" s="258"/>
      <c r="F3" s="259"/>
      <c r="G3" s="259"/>
      <c r="H3" s="259"/>
      <c r="I3" s="265"/>
      <c r="J3" s="265"/>
    </row>
    <row r="4" spans="1:10" ht="34.5">
      <c r="A4" s="1227" t="s">
        <v>786</v>
      </c>
      <c r="B4" s="1020"/>
      <c r="C4" s="1020"/>
      <c r="D4" s="1020"/>
      <c r="E4" s="1020"/>
      <c r="F4" s="1020"/>
      <c r="G4" s="1020"/>
      <c r="H4" s="1020"/>
      <c r="I4" s="1020"/>
      <c r="J4" s="1020"/>
    </row>
    <row r="5" spans="1:10" s="266" customFormat="1" ht="58.5" customHeight="1">
      <c r="A5" s="1228" t="s">
        <v>787</v>
      </c>
      <c r="B5" s="1229"/>
      <c r="C5" s="1229"/>
      <c r="D5" s="1229"/>
      <c r="E5" s="1229"/>
      <c r="F5" s="1229"/>
      <c r="G5" s="1229"/>
      <c r="H5" s="1229"/>
      <c r="I5" s="1229"/>
      <c r="J5" s="1229"/>
    </row>
    <row r="6" spans="1:10" ht="9" customHeight="1" thickBot="1">
      <c r="A6" s="267"/>
      <c r="B6" s="553"/>
      <c r="C6" s="553"/>
      <c r="D6" s="554"/>
      <c r="E6" s="554"/>
      <c r="F6" s="555"/>
      <c r="G6" s="555"/>
      <c r="H6" s="555"/>
      <c r="I6" s="506"/>
      <c r="J6" s="506"/>
    </row>
    <row r="9" spans="1:10" s="265" customFormat="1" ht="14.25">
      <c r="B9" s="268"/>
      <c r="C9" s="268"/>
      <c r="D9" s="269"/>
      <c r="E9" s="269"/>
      <c r="F9" s="269"/>
      <c r="G9" s="269"/>
      <c r="H9" s="269"/>
      <c r="I9" s="269"/>
      <c r="J9" s="269"/>
    </row>
    <row r="10" spans="1:10" s="265" customFormat="1" ht="18">
      <c r="F10" s="507"/>
      <c r="G10" s="1230" t="s">
        <v>0</v>
      </c>
      <c r="H10" s="1230"/>
      <c r="I10" s="1230"/>
    </row>
    <row r="11" spans="1:10" s="265" customFormat="1" ht="18">
      <c r="F11" s="519"/>
      <c r="G11" s="284" t="s">
        <v>1</v>
      </c>
      <c r="H11" s="802" t="s">
        <v>728</v>
      </c>
      <c r="I11" s="803"/>
    </row>
    <row r="12" spans="1:10" s="265" customFormat="1" ht="18">
      <c r="F12" s="519"/>
      <c r="G12" s="284" t="s">
        <v>3</v>
      </c>
      <c r="H12" s="802" t="s">
        <v>504</v>
      </c>
      <c r="I12" s="803"/>
    </row>
    <row r="13" spans="1:10" s="265" customFormat="1" ht="18">
      <c r="F13" s="804"/>
      <c r="G13" s="284" t="s">
        <v>7</v>
      </c>
      <c r="H13" s="805">
        <v>80000</v>
      </c>
      <c r="I13" s="806"/>
    </row>
    <row r="14" spans="1:10" s="265" customFormat="1" ht="18">
      <c r="F14" s="804"/>
      <c r="G14" s="284" t="s">
        <v>8</v>
      </c>
      <c r="H14" s="802" t="s">
        <v>788</v>
      </c>
      <c r="I14" s="803"/>
    </row>
    <row r="15" spans="1:10" s="265" customFormat="1" ht="18">
      <c r="A15" s="799"/>
      <c r="B15" s="256"/>
      <c r="C15" s="256"/>
      <c r="D15" s="256"/>
      <c r="E15" s="256"/>
      <c r="F15" s="315"/>
      <c r="G15" s="284" t="s">
        <v>10</v>
      </c>
      <c r="H15" s="802" t="s">
        <v>594</v>
      </c>
      <c r="I15" s="803"/>
    </row>
    <row r="16" spans="1:10" s="265" customFormat="1" ht="18">
      <c r="A16" s="547"/>
      <c r="B16" s="256"/>
      <c r="C16" s="256"/>
      <c r="E16" s="256"/>
      <c r="F16" s="315"/>
      <c r="G16" s="284" t="s">
        <v>185</v>
      </c>
      <c r="H16" s="802" t="s">
        <v>789</v>
      </c>
      <c r="I16" s="803"/>
    </row>
    <row r="17" spans="1:13" s="265" customFormat="1" ht="18">
      <c r="F17" s="804"/>
      <c r="G17" s="284" t="s">
        <v>18</v>
      </c>
      <c r="H17" s="802" t="s">
        <v>596</v>
      </c>
      <c r="I17" s="803"/>
    </row>
    <row r="18" spans="1:13" s="265" customFormat="1" ht="18">
      <c r="F18" s="269"/>
      <c r="G18" s="284" t="s">
        <v>22</v>
      </c>
      <c r="H18" s="802" t="s">
        <v>790</v>
      </c>
      <c r="I18" s="803"/>
    </row>
    <row r="19" spans="1:13" s="265" customFormat="1" ht="15.75" customHeight="1">
      <c r="D19" s="277"/>
      <c r="E19" s="277"/>
      <c r="F19" s="269"/>
      <c r="G19" s="284" t="s">
        <v>24</v>
      </c>
      <c r="H19" s="802" t="s">
        <v>791</v>
      </c>
      <c r="I19" s="803"/>
    </row>
    <row r="20" spans="1:13" s="265" customFormat="1" ht="18">
      <c r="D20" s="277"/>
      <c r="E20" s="277"/>
      <c r="F20" s="269"/>
      <c r="G20" s="284" t="s">
        <v>26</v>
      </c>
      <c r="H20" s="802" t="s">
        <v>792</v>
      </c>
      <c r="I20" s="803"/>
    </row>
    <row r="21" spans="1:13" s="265" customFormat="1" ht="18">
      <c r="D21" s="277"/>
      <c r="E21" s="277"/>
      <c r="F21" s="269"/>
      <c r="G21" s="284" t="s">
        <v>28</v>
      </c>
      <c r="H21" s="802" t="s">
        <v>793</v>
      </c>
      <c r="I21" s="803"/>
    </row>
    <row r="22" spans="1:13" s="265" customFormat="1" ht="12.6" customHeight="1">
      <c r="D22" s="277"/>
      <c r="E22" s="277"/>
      <c r="F22" s="834"/>
      <c r="G22" s="835"/>
      <c r="H22" s="802"/>
      <c r="I22" s="803"/>
    </row>
    <row r="23" spans="1:13" s="265" customFormat="1" ht="12.75" customHeight="1" thickBot="1">
      <c r="B23" s="577"/>
      <c r="C23" s="577"/>
      <c r="D23" s="277"/>
      <c r="E23" s="277"/>
      <c r="F23" s="277"/>
      <c r="G23" s="277"/>
      <c r="H23" s="277"/>
      <c r="I23" s="277"/>
      <c r="J23" s="283"/>
    </row>
    <row r="24" spans="1:13" s="808" customFormat="1" ht="18">
      <c r="A24" s="547"/>
      <c r="B24" s="547"/>
      <c r="C24" s="547"/>
      <c r="D24" s="807"/>
      <c r="E24" s="1231" t="s">
        <v>30</v>
      </c>
      <c r="F24" s="1232"/>
      <c r="G24" s="1232"/>
      <c r="H24" s="1233"/>
      <c r="I24" s="807"/>
      <c r="J24" s="807"/>
      <c r="K24" s="849"/>
      <c r="L24" s="807"/>
      <c r="M24" s="807"/>
    </row>
    <row r="25" spans="1:13" s="808" customFormat="1" ht="17.45" customHeight="1">
      <c r="A25" s="547"/>
      <c r="B25" s="547"/>
      <c r="C25" s="547"/>
      <c r="D25" s="257"/>
      <c r="E25" s="1234" t="s">
        <v>771</v>
      </c>
      <c r="F25" s="1235"/>
      <c r="G25" s="1235"/>
      <c r="H25" s="1236"/>
      <c r="I25" s="256"/>
      <c r="J25" s="256"/>
      <c r="K25" s="850"/>
    </row>
    <row r="26" spans="1:13" s="808" customFormat="1" ht="17.45" customHeight="1">
      <c r="A26" s="547"/>
      <c r="B26" s="547"/>
      <c r="C26" s="547"/>
      <c r="D26" s="257"/>
      <c r="E26" s="1219" t="s">
        <v>33</v>
      </c>
      <c r="F26" s="1220"/>
      <c r="G26" s="1246" t="s">
        <v>34</v>
      </c>
      <c r="H26" s="1247"/>
      <c r="I26" s="811"/>
      <c r="J26" s="811"/>
      <c r="K26" s="850"/>
    </row>
    <row r="27" spans="1:13" s="808" customFormat="1" ht="17.45" customHeight="1">
      <c r="A27" s="547"/>
      <c r="B27" s="547"/>
      <c r="C27" s="547"/>
      <c r="D27" s="257"/>
      <c r="E27" s="1219" t="s">
        <v>36</v>
      </c>
      <c r="F27" s="1220"/>
      <c r="G27" s="1244">
        <v>50</v>
      </c>
      <c r="H27" s="1245"/>
      <c r="I27" s="256"/>
      <c r="J27" s="256"/>
      <c r="K27" s="850"/>
    </row>
    <row r="28" spans="1:13" s="808" customFormat="1" ht="17.45" customHeight="1">
      <c r="A28" s="547"/>
      <c r="B28" s="547"/>
      <c r="C28" s="547"/>
      <c r="D28" s="257"/>
      <c r="E28" s="1219" t="s">
        <v>37</v>
      </c>
      <c r="F28" s="1220"/>
      <c r="G28" s="1246" t="s">
        <v>547</v>
      </c>
      <c r="H28" s="1247"/>
      <c r="I28" s="256"/>
      <c r="J28" s="256"/>
      <c r="K28" s="850"/>
    </row>
    <row r="29" spans="1:13" s="808" customFormat="1" ht="17.649999999999999" customHeight="1" thickBot="1">
      <c r="A29" s="547"/>
      <c r="B29" s="547"/>
      <c r="C29" s="547"/>
      <c r="D29" s="547"/>
      <c r="E29" s="1221" t="s">
        <v>548</v>
      </c>
      <c r="F29" s="1222"/>
      <c r="G29" s="1222"/>
      <c r="H29" s="1223"/>
      <c r="I29" s="547"/>
      <c r="J29" s="547"/>
      <c r="K29" s="850"/>
    </row>
    <row r="30" spans="1:13" s="265" customFormat="1" ht="12.75" customHeight="1">
      <c r="D30" s="277"/>
      <c r="E30" s="277"/>
      <c r="F30" s="329"/>
      <c r="G30" s="256"/>
      <c r="H30" s="256"/>
      <c r="I30" s="256"/>
      <c r="J30" s="256"/>
    </row>
    <row r="31" spans="1:13" s="265" customFormat="1" ht="12.75" customHeight="1">
      <c r="B31" s="577"/>
      <c r="C31" s="577"/>
      <c r="D31" s="277"/>
      <c r="E31" s="277"/>
      <c r="F31" s="277"/>
      <c r="G31" s="277"/>
      <c r="H31" s="277"/>
      <c r="I31" s="277"/>
      <c r="J31" s="283"/>
    </row>
    <row r="32" spans="1:13" s="265" customFormat="1" ht="12.75" customHeight="1">
      <c r="D32" s="277"/>
      <c r="E32" s="277"/>
      <c r="F32" s="329"/>
      <c r="G32" s="256"/>
      <c r="H32" s="256"/>
      <c r="I32" s="256"/>
      <c r="J32" s="256"/>
    </row>
    <row r="33" spans="1:10" s="265" customFormat="1" ht="12.75" customHeight="1">
      <c r="D33" s="277"/>
      <c r="E33" s="277"/>
      <c r="F33" s="329"/>
      <c r="G33" s="256"/>
      <c r="H33" s="256"/>
      <c r="I33" s="256"/>
      <c r="J33" s="256"/>
    </row>
    <row r="34" spans="1:10" s="265" customFormat="1" ht="18" customHeight="1" thickBot="1">
      <c r="C34" s="277"/>
      <c r="D34" s="283"/>
      <c r="E34" s="284"/>
      <c r="F34" s="256"/>
      <c r="G34" s="1224"/>
      <c r="H34" s="1088"/>
      <c r="I34" s="287"/>
      <c r="J34" s="288"/>
    </row>
    <row r="35" spans="1:10" s="265" customFormat="1" ht="15.75" customHeight="1" thickBot="1">
      <c r="E35" s="1063" t="s">
        <v>43</v>
      </c>
      <c r="F35" s="1101"/>
      <c r="G35" s="1003"/>
      <c r="H35" s="1003"/>
      <c r="I35" s="1003"/>
      <c r="J35" s="1025"/>
    </row>
    <row r="36" spans="1:10" s="813" customFormat="1" ht="59.25" thickBot="1">
      <c r="D36" s="814" t="s">
        <v>549</v>
      </c>
      <c r="E36" s="814" t="s">
        <v>46</v>
      </c>
      <c r="F36" s="814" t="s">
        <v>47</v>
      </c>
      <c r="G36" s="814" t="s">
        <v>48</v>
      </c>
      <c r="H36" s="814" t="s">
        <v>49</v>
      </c>
      <c r="I36" s="814" t="s">
        <v>50</v>
      </c>
      <c r="J36" s="814" t="s">
        <v>51</v>
      </c>
    </row>
    <row r="37" spans="1:10" s="815" customFormat="1" ht="91.15" customHeight="1" thickBot="1">
      <c r="D37" s="816">
        <v>29</v>
      </c>
      <c r="E37" s="816"/>
      <c r="F37" s="207" t="s">
        <v>794</v>
      </c>
      <c r="G37" s="857" t="s">
        <v>795</v>
      </c>
      <c r="H37" s="818">
        <v>1600</v>
      </c>
      <c r="I37" s="504">
        <f>SUM(H37:H37)*(1-30%)</f>
        <v>1120</v>
      </c>
      <c r="J37" s="819">
        <f>I37*E37</f>
        <v>0</v>
      </c>
    </row>
    <row r="38" spans="1:10" s="808" customFormat="1" ht="19.5" thickBot="1">
      <c r="A38" s="208"/>
      <c r="B38" s="209"/>
      <c r="C38" s="209"/>
      <c r="D38" s="1225" t="s">
        <v>59</v>
      </c>
      <c r="E38" s="1226"/>
      <c r="F38" s="1226"/>
      <c r="G38" s="1226"/>
      <c r="H38" s="1226"/>
      <c r="I38" s="1226"/>
      <c r="J38" s="1226"/>
    </row>
    <row r="39" spans="1:10" s="808" customFormat="1" ht="19.5" thickBot="1">
      <c r="A39" s="208"/>
      <c r="B39" s="209"/>
      <c r="C39" s="209"/>
      <c r="D39" s="1215"/>
      <c r="E39" s="820"/>
      <c r="F39" s="535" t="s">
        <v>796</v>
      </c>
      <c r="G39" s="486" t="s">
        <v>797</v>
      </c>
      <c r="H39" s="793">
        <v>247.37</v>
      </c>
      <c r="I39" s="483">
        <f t="shared" ref="I39:I54" si="0">H39*(1-15%)</f>
        <v>210.2645</v>
      </c>
      <c r="J39" s="483">
        <f t="shared" ref="J39:J54" si="1">I39*E39</f>
        <v>0</v>
      </c>
    </row>
    <row r="40" spans="1:10" s="808" customFormat="1" ht="19.5" thickBot="1">
      <c r="A40" s="208"/>
      <c r="B40" s="209"/>
      <c r="C40" s="209"/>
      <c r="D40" s="1215"/>
      <c r="E40" s="837"/>
      <c r="F40" s="210" t="s">
        <v>798</v>
      </c>
      <c r="G40" s="430" t="s">
        <v>797</v>
      </c>
      <c r="H40" s="794">
        <v>247.37</v>
      </c>
      <c r="I40" s="18">
        <f t="shared" si="0"/>
        <v>210.2645</v>
      </c>
      <c r="J40" s="18">
        <f t="shared" si="1"/>
        <v>0</v>
      </c>
    </row>
    <row r="41" spans="1:10" s="808" customFormat="1" ht="19.5" thickBot="1">
      <c r="A41" s="208"/>
      <c r="B41" s="209"/>
      <c r="C41" s="209"/>
      <c r="D41" s="1215"/>
      <c r="E41" s="837"/>
      <c r="F41" s="533" t="s">
        <v>799</v>
      </c>
      <c r="G41" s="430" t="s">
        <v>800</v>
      </c>
      <c r="H41" s="791">
        <v>868.9</v>
      </c>
      <c r="I41" s="18">
        <f t="shared" si="0"/>
        <v>738.56499999999994</v>
      </c>
      <c r="J41" s="18">
        <f t="shared" si="1"/>
        <v>0</v>
      </c>
    </row>
    <row r="42" spans="1:10" s="808" customFormat="1" ht="19.5" thickBot="1">
      <c r="A42" s="208"/>
      <c r="B42" s="209"/>
      <c r="C42" s="209"/>
      <c r="D42" s="1215"/>
      <c r="E42" s="837"/>
      <c r="F42" s="533" t="s">
        <v>801</v>
      </c>
      <c r="G42" s="430" t="s">
        <v>802</v>
      </c>
      <c r="H42" s="794">
        <v>369.6</v>
      </c>
      <c r="I42" s="18">
        <f t="shared" si="0"/>
        <v>314.16000000000003</v>
      </c>
      <c r="J42" s="18">
        <f t="shared" si="1"/>
        <v>0</v>
      </c>
    </row>
    <row r="43" spans="1:10" s="808" customFormat="1" ht="19.5" thickBot="1">
      <c r="A43" s="208"/>
      <c r="B43" s="209"/>
      <c r="C43" s="209"/>
      <c r="D43" s="1215"/>
      <c r="E43" s="837"/>
      <c r="F43" s="533" t="s">
        <v>803</v>
      </c>
      <c r="G43" s="430" t="s">
        <v>804</v>
      </c>
      <c r="H43" s="791">
        <v>443.52</v>
      </c>
      <c r="I43" s="18">
        <f t="shared" si="0"/>
        <v>376.99199999999996</v>
      </c>
      <c r="J43" s="18">
        <f t="shared" si="1"/>
        <v>0</v>
      </c>
    </row>
    <row r="44" spans="1:10" s="808" customFormat="1" ht="19.5" thickBot="1">
      <c r="A44" s="208"/>
      <c r="B44" s="209"/>
      <c r="C44" s="209"/>
      <c r="D44" s="1215"/>
      <c r="E44" s="837"/>
      <c r="F44" s="533" t="s">
        <v>805</v>
      </c>
      <c r="G44" s="430" t="s">
        <v>806</v>
      </c>
      <c r="H44" s="794">
        <v>616.82000000000005</v>
      </c>
      <c r="I44" s="18">
        <f t="shared" si="0"/>
        <v>524.29700000000003</v>
      </c>
      <c r="J44" s="18">
        <f t="shared" si="1"/>
        <v>0</v>
      </c>
    </row>
    <row r="45" spans="1:10" s="808" customFormat="1" ht="19.5" thickBot="1">
      <c r="A45" s="208"/>
      <c r="B45" s="209"/>
      <c r="C45" s="209"/>
      <c r="D45" s="1215"/>
      <c r="E45" s="837"/>
      <c r="F45" s="210" t="s">
        <v>807</v>
      </c>
      <c r="G45" s="430" t="s">
        <v>808</v>
      </c>
      <c r="H45" s="794">
        <v>221</v>
      </c>
      <c r="I45" s="18">
        <f t="shared" si="0"/>
        <v>187.85</v>
      </c>
      <c r="J45" s="18">
        <f t="shared" si="1"/>
        <v>0</v>
      </c>
    </row>
    <row r="46" spans="1:10" s="808" customFormat="1" ht="19.5" thickBot="1">
      <c r="A46" s="208"/>
      <c r="B46" s="209"/>
      <c r="C46" s="209"/>
      <c r="D46" s="1215"/>
      <c r="E46" s="837"/>
      <c r="F46" s="533" t="s">
        <v>809</v>
      </c>
      <c r="G46" s="430" t="s">
        <v>810</v>
      </c>
      <c r="H46" s="794">
        <v>50.42</v>
      </c>
      <c r="I46" s="18">
        <f t="shared" si="0"/>
        <v>42.856999999999999</v>
      </c>
      <c r="J46" s="18">
        <f t="shared" si="1"/>
        <v>0</v>
      </c>
    </row>
    <row r="47" spans="1:10" s="808" customFormat="1" ht="37.5" thickBot="1">
      <c r="A47" s="208"/>
      <c r="B47" s="209"/>
      <c r="C47" s="209"/>
      <c r="D47" s="1215"/>
      <c r="E47" s="837"/>
      <c r="F47" s="210" t="s">
        <v>811</v>
      </c>
      <c r="G47" s="430" t="s">
        <v>812</v>
      </c>
      <c r="H47" s="794">
        <v>85.77</v>
      </c>
      <c r="I47" s="18">
        <f t="shared" si="0"/>
        <v>72.904499999999999</v>
      </c>
      <c r="J47" s="18">
        <f t="shared" si="1"/>
        <v>0</v>
      </c>
    </row>
    <row r="48" spans="1:10" s="808" customFormat="1" ht="19.5" thickBot="1">
      <c r="A48" s="208"/>
      <c r="B48" s="209"/>
      <c r="C48" s="209"/>
      <c r="D48" s="1215"/>
      <c r="E48" s="837"/>
      <c r="F48" s="210" t="s">
        <v>813</v>
      </c>
      <c r="G48" s="430" t="s">
        <v>814</v>
      </c>
      <c r="H48" s="794">
        <v>98.2</v>
      </c>
      <c r="I48" s="18">
        <f t="shared" si="0"/>
        <v>83.47</v>
      </c>
      <c r="J48" s="18">
        <f t="shared" si="1"/>
        <v>0</v>
      </c>
    </row>
    <row r="49" spans="1:10" s="808" customFormat="1" ht="19.5" thickBot="1">
      <c r="A49" s="208"/>
      <c r="B49" s="209"/>
      <c r="C49" s="209"/>
      <c r="D49" s="1215"/>
      <c r="E49" s="837"/>
      <c r="F49" s="210" t="s">
        <v>815</v>
      </c>
      <c r="G49" s="430" t="s">
        <v>816</v>
      </c>
      <c r="H49" s="794">
        <v>219</v>
      </c>
      <c r="I49" s="18">
        <f t="shared" si="0"/>
        <v>186.15</v>
      </c>
      <c r="J49" s="18">
        <f t="shared" si="1"/>
        <v>0</v>
      </c>
    </row>
    <row r="50" spans="1:10" s="808" customFormat="1" ht="19.5" thickBot="1">
      <c r="A50" s="208"/>
      <c r="B50" s="209"/>
      <c r="C50" s="209"/>
      <c r="D50" s="1215"/>
      <c r="E50" s="837"/>
      <c r="F50" s="533" t="s">
        <v>817</v>
      </c>
      <c r="G50" s="430" t="s">
        <v>818</v>
      </c>
      <c r="H50" s="794">
        <v>350</v>
      </c>
      <c r="I50" s="18">
        <f t="shared" si="0"/>
        <v>297.5</v>
      </c>
      <c r="J50" s="18">
        <f t="shared" si="1"/>
        <v>0</v>
      </c>
    </row>
    <row r="51" spans="1:10" s="808" customFormat="1" ht="19.5" thickBot="1">
      <c r="A51" s="208"/>
      <c r="B51" s="209"/>
      <c r="C51" s="209"/>
      <c r="D51" s="1215"/>
      <c r="E51" s="837"/>
      <c r="F51" s="533" t="s">
        <v>819</v>
      </c>
      <c r="G51" s="430" t="s">
        <v>820</v>
      </c>
      <c r="H51" s="791">
        <v>744.59</v>
      </c>
      <c r="I51" s="18">
        <f t="shared" si="0"/>
        <v>632.90150000000006</v>
      </c>
      <c r="J51" s="18">
        <f t="shared" si="1"/>
        <v>0</v>
      </c>
    </row>
    <row r="52" spans="1:10" s="808" customFormat="1" ht="37.5" thickBot="1">
      <c r="A52" s="208"/>
      <c r="B52" s="209"/>
      <c r="C52" s="209"/>
      <c r="D52" s="1215"/>
      <c r="E52" s="837"/>
      <c r="F52" s="533" t="s">
        <v>821</v>
      </c>
      <c r="G52" s="430" t="s">
        <v>822</v>
      </c>
      <c r="H52" s="794">
        <v>482.9</v>
      </c>
      <c r="I52" s="18">
        <f t="shared" si="0"/>
        <v>410.46499999999997</v>
      </c>
      <c r="J52" s="18">
        <f t="shared" si="1"/>
        <v>0</v>
      </c>
    </row>
    <row r="53" spans="1:10" s="808" customFormat="1" ht="19.5" thickBot="1">
      <c r="A53" s="208"/>
      <c r="B53" s="209"/>
      <c r="C53" s="209"/>
      <c r="D53" s="1215"/>
      <c r="E53" s="837"/>
      <c r="F53" s="533" t="s">
        <v>823</v>
      </c>
      <c r="G53" s="430" t="s">
        <v>824</v>
      </c>
      <c r="H53" s="794">
        <v>616.82000000000005</v>
      </c>
      <c r="I53" s="18">
        <f t="shared" si="0"/>
        <v>524.29700000000003</v>
      </c>
      <c r="J53" s="18">
        <f t="shared" si="1"/>
        <v>0</v>
      </c>
    </row>
    <row r="54" spans="1:10" s="808" customFormat="1" ht="19.5" thickBot="1">
      <c r="A54" s="208"/>
      <c r="B54" s="209"/>
      <c r="C54" s="209"/>
      <c r="D54" s="1216"/>
      <c r="E54" s="837"/>
      <c r="F54" s="533" t="s">
        <v>825</v>
      </c>
      <c r="G54" s="534" t="s">
        <v>826</v>
      </c>
      <c r="H54" s="794">
        <v>199</v>
      </c>
      <c r="I54" s="18">
        <f t="shared" si="0"/>
        <v>169.15</v>
      </c>
      <c r="J54" s="18">
        <f t="shared" si="1"/>
        <v>0</v>
      </c>
    </row>
    <row r="55" spans="1:10" ht="23.25">
      <c r="C55" s="269"/>
      <c r="D55" s="829"/>
      <c r="E55" s="1243" t="s">
        <v>65</v>
      </c>
      <c r="F55" s="1020"/>
      <c r="G55" s="1020"/>
      <c r="H55" s="1020"/>
      <c r="I55" s="1020"/>
      <c r="J55" s="830">
        <f>SUM(J39:J54)+J37</f>
        <v>0</v>
      </c>
    </row>
    <row r="56" spans="1:10" ht="15.75">
      <c r="C56" s="269"/>
      <c r="D56" s="283"/>
      <c r="E56" s="832"/>
      <c r="F56" s="832"/>
    </row>
    <row r="57" spans="1:10" ht="15.75">
      <c r="C57" s="269"/>
      <c r="D57" s="283"/>
      <c r="E57" s="832"/>
      <c r="F57" s="832"/>
    </row>
    <row r="61" spans="1:10">
      <c r="B61" s="258"/>
      <c r="C61" s="258"/>
    </row>
  </sheetData>
  <mergeCells count="17">
    <mergeCell ref="E26:F26"/>
    <mergeCell ref="G26:H26"/>
    <mergeCell ref="A4:J4"/>
    <mergeCell ref="A5:J5"/>
    <mergeCell ref="G10:I10"/>
    <mergeCell ref="E24:H24"/>
    <mergeCell ref="E25:H25"/>
    <mergeCell ref="E35:J35"/>
    <mergeCell ref="D38:J38"/>
    <mergeCell ref="D39:D54"/>
    <mergeCell ref="E55:I55"/>
    <mergeCell ref="E27:F27"/>
    <mergeCell ref="G27:H27"/>
    <mergeCell ref="E28:F28"/>
    <mergeCell ref="G28:H28"/>
    <mergeCell ref="E29:H29"/>
    <mergeCell ref="G34:H3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8147-0549-40A2-B44F-0C9E1E7719A3}">
  <sheetPr>
    <tabColor indexed="44"/>
  </sheetPr>
  <dimension ref="A1:O48"/>
  <sheetViews>
    <sheetView topLeftCell="A5" zoomScaleNormal="100" workbookViewId="0">
      <selection activeCell="A5" sqref="A5:N5"/>
    </sheetView>
  </sheetViews>
  <sheetFormatPr defaultColWidth="8.85546875" defaultRowHeight="12.75"/>
  <cols>
    <col min="1" max="1" width="15" style="256" customWidth="1"/>
    <col min="2" max="2" width="10" style="256" customWidth="1"/>
    <col min="3" max="3" width="16.5703125" style="256" customWidth="1"/>
    <col min="4" max="4" width="44.42578125" style="256" customWidth="1"/>
    <col min="5" max="5" width="17.42578125" style="256" customWidth="1"/>
    <col min="6" max="6" width="15.5703125" style="333" customWidth="1"/>
    <col min="7" max="7" width="23.42578125" style="333" customWidth="1"/>
    <col min="8" max="8" width="28.28515625" style="256" bestFit="1" customWidth="1"/>
    <col min="9" max="9" width="19" style="256" customWidth="1"/>
    <col min="10" max="10" width="25" style="256" bestFit="1" customWidth="1"/>
    <col min="11" max="11" width="19" style="256" customWidth="1"/>
    <col min="12" max="12" width="25" style="256" bestFit="1" customWidth="1"/>
    <col min="13" max="13" width="18.42578125" style="256" customWidth="1"/>
    <col min="14" max="14" width="25" style="256" bestFit="1" customWidth="1"/>
    <col min="15" max="16384" width="8.85546875" style="256"/>
  </cols>
  <sheetData>
    <row r="1" spans="1:15" ht="13.5" thickBot="1">
      <c r="B1" s="257"/>
      <c r="C1" s="257"/>
      <c r="D1" s="258"/>
      <c r="E1" s="258"/>
      <c r="F1" s="259"/>
      <c r="G1" s="259"/>
      <c r="H1" s="259"/>
      <c r="I1" s="259"/>
      <c r="J1" s="259"/>
      <c r="K1" s="258"/>
      <c r="L1" s="259"/>
    </row>
    <row r="2" spans="1:15" ht="9" customHeight="1">
      <c r="A2" s="260"/>
      <c r="B2" s="261"/>
      <c r="C2" s="261"/>
      <c r="D2" s="262"/>
      <c r="E2" s="262"/>
      <c r="F2" s="263"/>
      <c r="G2" s="263"/>
      <c r="H2" s="263"/>
      <c r="I2" s="264"/>
      <c r="J2" s="264"/>
      <c r="K2" s="264"/>
      <c r="L2" s="264"/>
      <c r="M2" s="260"/>
      <c r="N2" s="260"/>
    </row>
    <row r="3" spans="1:15" ht="10.5" customHeight="1">
      <c r="A3" s="1256"/>
      <c r="B3" s="1256"/>
      <c r="C3" s="1256"/>
      <c r="D3" s="1256"/>
      <c r="E3" s="1256"/>
      <c r="F3" s="1256"/>
      <c r="G3" s="1256"/>
      <c r="H3" s="1256"/>
      <c r="I3" s="1256"/>
      <c r="J3" s="1256"/>
      <c r="K3" s="1256"/>
      <c r="L3" s="1256"/>
      <c r="M3" s="1256"/>
      <c r="N3" s="1256"/>
    </row>
    <row r="4" spans="1:15" ht="36" customHeight="1">
      <c r="A4" s="1112" t="s">
        <v>4073</v>
      </c>
      <c r="B4" s="1112"/>
      <c r="C4" s="1112"/>
      <c r="D4" s="1112"/>
      <c r="E4" s="1112"/>
      <c r="F4" s="1112"/>
      <c r="G4" s="1112"/>
      <c r="H4" s="1112"/>
      <c r="I4" s="1112"/>
      <c r="J4" s="1112"/>
      <c r="K4" s="1112"/>
      <c r="L4" s="1112"/>
      <c r="M4" s="1112"/>
      <c r="N4" s="1112"/>
    </row>
    <row r="5" spans="1:15" s="266" customFormat="1" ht="41.25" customHeight="1">
      <c r="A5" s="1257" t="s">
        <v>4053</v>
      </c>
      <c r="B5" s="1257"/>
      <c r="C5" s="1257"/>
      <c r="D5" s="1257"/>
      <c r="E5" s="1257"/>
      <c r="F5" s="1257"/>
      <c r="G5" s="1257"/>
      <c r="H5" s="1257"/>
      <c r="I5" s="1257"/>
      <c r="J5" s="1257"/>
      <c r="K5" s="1257"/>
      <c r="L5" s="1257"/>
      <c r="M5" s="1257"/>
      <c r="N5" s="1257"/>
    </row>
    <row r="6" spans="1:15" ht="9" customHeight="1" thickBot="1">
      <c r="A6" s="267"/>
      <c r="B6" s="267"/>
      <c r="C6" s="267"/>
      <c r="D6" s="267"/>
      <c r="E6" s="267"/>
      <c r="F6" s="267"/>
      <c r="G6" s="267"/>
      <c r="H6" s="267"/>
      <c r="I6" s="267"/>
      <c r="J6" s="267"/>
      <c r="K6" s="267"/>
      <c r="L6" s="506"/>
      <c r="M6" s="267"/>
      <c r="N6" s="267"/>
    </row>
    <row r="7" spans="1:15" s="265" customFormat="1" ht="14.25">
      <c r="B7" s="268"/>
      <c r="C7" s="268"/>
      <c r="D7" s="269"/>
      <c r="E7" s="269"/>
      <c r="F7" s="269"/>
      <c r="G7" s="269"/>
      <c r="H7" s="269"/>
      <c r="I7" s="269"/>
      <c r="J7" s="269"/>
      <c r="K7" s="269"/>
      <c r="L7" s="269"/>
      <c r="M7" s="269"/>
      <c r="N7" s="269"/>
      <c r="O7" s="269"/>
    </row>
    <row r="8" spans="1:15" s="265" customFormat="1" ht="12" customHeight="1" thickBot="1">
      <c r="F8" s="446"/>
      <c r="G8" s="446"/>
      <c r="H8" s="270"/>
      <c r="I8" s="282"/>
      <c r="J8" s="282"/>
      <c r="L8" s="282"/>
    </row>
    <row r="9" spans="1:15" s="265" customFormat="1" ht="18">
      <c r="A9" s="1231" t="s">
        <v>30</v>
      </c>
      <c r="B9" s="1232"/>
      <c r="C9" s="1232"/>
      <c r="D9" s="1232"/>
      <c r="E9" s="1232"/>
      <c r="F9" s="1232"/>
      <c r="G9" s="1232"/>
      <c r="H9" s="1232"/>
      <c r="I9" s="1232"/>
      <c r="J9" s="1232"/>
      <c r="K9" s="1232"/>
      <c r="L9" s="1232"/>
      <c r="M9" s="1232"/>
      <c r="N9" s="1232"/>
    </row>
    <row r="10" spans="1:15" s="265" customFormat="1" ht="18" customHeight="1">
      <c r="A10" s="1258" t="s">
        <v>827</v>
      </c>
      <c r="B10" s="1259"/>
      <c r="C10" s="1259"/>
      <c r="D10" s="1259"/>
      <c r="E10" s="1259"/>
      <c r="F10" s="1259"/>
      <c r="G10" s="1259"/>
      <c r="H10" s="1259"/>
      <c r="I10" s="1259"/>
      <c r="J10" s="1259"/>
      <c r="K10" s="1259"/>
      <c r="L10" s="1259"/>
      <c r="M10" s="1259"/>
      <c r="N10" s="1259"/>
    </row>
    <row r="11" spans="1:15" s="265" customFormat="1" ht="18" customHeight="1">
      <c r="A11" s="1219" t="s">
        <v>828</v>
      </c>
      <c r="B11" s="1220"/>
      <c r="C11" s="1220"/>
      <c r="D11" s="1220"/>
      <c r="E11" s="1220"/>
      <c r="F11" s="1220"/>
      <c r="G11" s="1220"/>
      <c r="H11" s="1220"/>
      <c r="I11" s="1255">
        <v>6300</v>
      </c>
      <c r="J11" s="1255"/>
      <c r="K11" s="1255"/>
      <c r="L11" s="1255"/>
      <c r="M11" s="1255"/>
      <c r="N11" s="1255"/>
    </row>
    <row r="12" spans="1:15" s="265" customFormat="1" ht="18" customHeight="1" thickBot="1">
      <c r="A12" s="1221" t="s">
        <v>829</v>
      </c>
      <c r="B12" s="1222"/>
      <c r="C12" s="1222"/>
      <c r="D12" s="1222"/>
      <c r="E12" s="1222"/>
      <c r="F12" s="1222"/>
      <c r="G12" s="1222"/>
      <c r="H12" s="1222"/>
      <c r="I12" s="1222"/>
      <c r="J12" s="1222"/>
      <c r="K12" s="1222"/>
      <c r="L12" s="1222"/>
      <c r="M12" s="1222"/>
      <c r="N12" s="1222"/>
    </row>
    <row r="13" spans="1:15" s="265" customFormat="1" ht="18" customHeight="1">
      <c r="A13" s="809"/>
      <c r="B13" s="808"/>
      <c r="C13" s="808"/>
      <c r="D13" s="808"/>
      <c r="E13" s="808"/>
      <c r="F13" s="808"/>
      <c r="G13" s="808"/>
      <c r="H13" s="808"/>
      <c r="I13" s="808"/>
      <c r="J13" s="808"/>
      <c r="K13" s="808"/>
      <c r="L13" s="808"/>
      <c r="M13" s="808"/>
      <c r="N13" s="808"/>
    </row>
    <row r="14" spans="1:15" s="265" customFormat="1" ht="14.25">
      <c r="D14" s="277"/>
      <c r="E14" s="277"/>
      <c r="F14" s="283"/>
      <c r="G14" s="283"/>
      <c r="I14" s="288"/>
      <c r="J14" s="288"/>
      <c r="K14" s="288"/>
      <c r="L14" s="288"/>
    </row>
    <row r="15" spans="1:15" s="265" customFormat="1" ht="13.5" thickBot="1">
      <c r="F15" s="1248" t="s">
        <v>43</v>
      </c>
      <c r="G15" s="1249"/>
      <c r="H15" s="1249"/>
      <c r="I15" s="1249"/>
      <c r="J15" s="1249"/>
      <c r="K15" s="1249"/>
    </row>
    <row r="16" spans="1:15" s="265" customFormat="1" ht="57.75" customHeight="1" thickBot="1">
      <c r="E16" s="188" t="s">
        <v>45</v>
      </c>
      <c r="F16" s="188" t="s">
        <v>46</v>
      </c>
      <c r="G16" s="189" t="s">
        <v>47</v>
      </c>
      <c r="H16" s="189" t="s">
        <v>48</v>
      </c>
      <c r="I16" s="189" t="s">
        <v>49</v>
      </c>
      <c r="J16" s="189" t="s">
        <v>830</v>
      </c>
      <c r="K16" s="188" t="s">
        <v>51</v>
      </c>
    </row>
    <row r="17" spans="1:14" s="265" customFormat="1" ht="35.65" customHeight="1" thickBot="1">
      <c r="E17" s="190">
        <v>30</v>
      </c>
      <c r="F17" s="191"/>
      <c r="G17" s="509" t="s">
        <v>4052</v>
      </c>
      <c r="H17" s="934" t="s">
        <v>4079</v>
      </c>
      <c r="I17" s="194">
        <v>35000</v>
      </c>
      <c r="J17" s="510">
        <f>SUM(I17:I17)*(1-22%)+I11</f>
        <v>33600</v>
      </c>
      <c r="K17" s="30">
        <f>J17*F17</f>
        <v>0</v>
      </c>
    </row>
    <row r="18" spans="1:14" s="198" customFormat="1" ht="15.75" customHeight="1" thickBot="1">
      <c r="E18" s="1250" t="s">
        <v>831</v>
      </c>
      <c r="F18" s="1251"/>
      <c r="G18" s="1252"/>
      <c r="H18" s="1252"/>
      <c r="I18" s="1252"/>
      <c r="J18" s="1251"/>
      <c r="K18" s="1253"/>
    </row>
    <row r="19" spans="1:14" s="198" customFormat="1" ht="26.25" thickBot="1">
      <c r="E19" s="1254"/>
      <c r="F19" s="939"/>
      <c r="G19" s="942" t="s">
        <v>4054</v>
      </c>
      <c r="H19" s="943" t="s">
        <v>4055</v>
      </c>
      <c r="I19" s="940">
        <v>795</v>
      </c>
      <c r="J19" s="941">
        <f>I19*(1-10%)</f>
        <v>715.5</v>
      </c>
      <c r="K19" s="41">
        <f t="shared" ref="K19:K27" si="0">J19*F19</f>
        <v>0</v>
      </c>
      <c r="L19" s="528"/>
    </row>
    <row r="20" spans="1:14" s="198" customFormat="1" ht="13.5" thickBot="1">
      <c r="E20" s="1254"/>
      <c r="F20" s="939"/>
      <c r="G20" s="942" t="s">
        <v>4056</v>
      </c>
      <c r="H20" s="943" t="s">
        <v>4057</v>
      </c>
      <c r="I20" s="940">
        <v>3000</v>
      </c>
      <c r="J20" s="941">
        <f t="shared" ref="J20:J27" si="1">I20*(1-10%)</f>
        <v>2700</v>
      </c>
      <c r="K20" s="41">
        <f>J20*F20</f>
        <v>0</v>
      </c>
      <c r="L20" s="528"/>
    </row>
    <row r="21" spans="1:14" s="198" customFormat="1" ht="13.5" thickBot="1">
      <c r="E21" s="1254"/>
      <c r="F21" s="416"/>
      <c r="G21" s="944" t="s">
        <v>839</v>
      </c>
      <c r="H21" s="945" t="s">
        <v>4065</v>
      </c>
      <c r="I21" s="703">
        <v>727</v>
      </c>
      <c r="J21" s="38">
        <f t="shared" si="1"/>
        <v>654.30000000000007</v>
      </c>
      <c r="K21" s="41">
        <f t="shared" si="0"/>
        <v>0</v>
      </c>
      <c r="L21" s="528"/>
    </row>
    <row r="22" spans="1:14" s="198" customFormat="1" ht="13.5" thickBot="1">
      <c r="E22" s="1254"/>
      <c r="F22" s="416"/>
      <c r="G22" s="946" t="s">
        <v>833</v>
      </c>
      <c r="H22" s="947" t="s">
        <v>4066</v>
      </c>
      <c r="I22" s="38">
        <v>70</v>
      </c>
      <c r="J22" s="38">
        <f t="shared" si="1"/>
        <v>63</v>
      </c>
      <c r="K22" s="41">
        <f t="shared" si="0"/>
        <v>0</v>
      </c>
      <c r="L22" s="528"/>
    </row>
    <row r="23" spans="1:14" s="198" customFormat="1" ht="13.5" thickBot="1">
      <c r="E23" s="1254"/>
      <c r="F23" s="416"/>
      <c r="G23" s="946" t="s">
        <v>834</v>
      </c>
      <c r="H23" s="947" t="s">
        <v>4067</v>
      </c>
      <c r="I23" s="38">
        <v>1932.9896907216496</v>
      </c>
      <c r="J23" s="38">
        <f t="shared" si="1"/>
        <v>1739.6907216494847</v>
      </c>
      <c r="K23" s="41">
        <f t="shared" si="0"/>
        <v>0</v>
      </c>
      <c r="L23" s="528"/>
    </row>
    <row r="24" spans="1:14" s="519" customFormat="1" ht="13.5" thickBot="1">
      <c r="E24" s="1254"/>
      <c r="F24" s="416"/>
      <c r="G24" s="946" t="s">
        <v>835</v>
      </c>
      <c r="H24" s="947" t="s">
        <v>4068</v>
      </c>
      <c r="I24" s="38">
        <v>70</v>
      </c>
      <c r="J24" s="38">
        <f t="shared" si="1"/>
        <v>63</v>
      </c>
      <c r="K24" s="41">
        <f t="shared" si="0"/>
        <v>0</v>
      </c>
      <c r="L24" s="528"/>
    </row>
    <row r="25" spans="1:14" s="291" customFormat="1" ht="13.5" thickBot="1">
      <c r="E25" s="1254"/>
      <c r="F25" s="416"/>
      <c r="G25" s="946" t="s">
        <v>836</v>
      </c>
      <c r="H25" s="947" t="s">
        <v>4069</v>
      </c>
      <c r="I25" s="38">
        <v>95</v>
      </c>
      <c r="J25" s="38">
        <f t="shared" si="1"/>
        <v>85.5</v>
      </c>
      <c r="K25" s="41">
        <f t="shared" si="0"/>
        <v>0</v>
      </c>
      <c r="L25" s="528"/>
    </row>
    <row r="26" spans="1:14" s="198" customFormat="1" ht="26.25" thickBot="1">
      <c r="E26" s="1254"/>
      <c r="F26" s="416"/>
      <c r="G26" s="946" t="s">
        <v>837</v>
      </c>
      <c r="H26" s="947" t="s">
        <v>4070</v>
      </c>
      <c r="I26" s="38">
        <v>185</v>
      </c>
      <c r="J26" s="38">
        <f t="shared" si="1"/>
        <v>166.5</v>
      </c>
      <c r="K26" s="41">
        <f t="shared" si="0"/>
        <v>0</v>
      </c>
      <c r="L26" s="528"/>
    </row>
    <row r="27" spans="1:14" s="198" customFormat="1" ht="13.5" thickBot="1">
      <c r="E27" s="1254"/>
      <c r="F27" s="416"/>
      <c r="G27" s="946" t="s">
        <v>838</v>
      </c>
      <c r="H27" s="947" t="s">
        <v>4071</v>
      </c>
      <c r="I27" s="38">
        <v>95</v>
      </c>
      <c r="J27" s="38">
        <f t="shared" si="1"/>
        <v>85.5</v>
      </c>
      <c r="K27" s="41">
        <f t="shared" si="0"/>
        <v>0</v>
      </c>
      <c r="L27" s="528"/>
    </row>
    <row r="28" spans="1:14" s="291" customFormat="1" ht="15">
      <c r="A28" s="519"/>
      <c r="B28" s="258"/>
      <c r="C28" s="258"/>
      <c r="E28" s="858"/>
      <c r="F28" s="858"/>
      <c r="H28" s="858"/>
      <c r="I28" s="1183" t="s">
        <v>65</v>
      </c>
      <c r="J28" s="1183"/>
      <c r="K28" s="520">
        <f>SUM(K19:K27)+K17</f>
        <v>0</v>
      </c>
    </row>
    <row r="29" spans="1:14" s="291" customFormat="1">
      <c r="A29" s="315"/>
      <c r="B29" s="256"/>
      <c r="C29" s="256"/>
      <c r="D29" s="315"/>
      <c r="E29" s="315"/>
      <c r="F29" s="456"/>
      <c r="G29" s="456"/>
      <c r="H29" s="315"/>
      <c r="I29" s="315"/>
      <c r="J29" s="315"/>
      <c r="K29" s="315"/>
      <c r="L29" s="315"/>
      <c r="M29" s="315"/>
      <c r="N29" s="315"/>
    </row>
    <row r="30" spans="1:14" s="291" customFormat="1" ht="15.75">
      <c r="A30" s="256"/>
      <c r="B30" s="521"/>
      <c r="C30" s="521"/>
      <c r="D30" s="522"/>
      <c r="E30" s="522"/>
      <c r="F30" s="523"/>
      <c r="G30" s="333"/>
      <c r="H30" s="256"/>
      <c r="I30" s="256"/>
      <c r="J30" s="256"/>
      <c r="K30" s="256"/>
      <c r="L30" s="256"/>
      <c r="M30" s="256"/>
      <c r="N30" s="256"/>
    </row>
    <row r="31" spans="1:14" s="519" customFormat="1">
      <c r="A31" s="256"/>
      <c r="B31" s="256"/>
      <c r="C31" s="256"/>
      <c r="D31" s="256"/>
      <c r="E31" s="256"/>
      <c r="F31" s="523"/>
      <c r="G31" s="333"/>
      <c r="H31" s="256"/>
      <c r="I31" s="256"/>
      <c r="J31" s="256"/>
      <c r="K31" s="256"/>
      <c r="L31" s="256"/>
      <c r="M31" s="256"/>
      <c r="N31" s="256"/>
    </row>
    <row r="32" spans="1:14" s="519" customFormat="1">
      <c r="A32" s="256"/>
      <c r="B32" s="256"/>
      <c r="C32" s="256"/>
      <c r="D32" s="256"/>
      <c r="E32" s="256"/>
      <c r="F32" s="333"/>
      <c r="G32" s="333"/>
      <c r="H32" s="256"/>
      <c r="I32" s="256"/>
      <c r="J32" s="256"/>
      <c r="K32" s="256"/>
      <c r="L32" s="859"/>
      <c r="M32" s="256"/>
      <c r="N32" s="256"/>
    </row>
    <row r="33" spans="1:14" s="524" customFormat="1" hidden="1">
      <c r="A33" s="256"/>
      <c r="B33" s="256"/>
      <c r="C33" s="256"/>
      <c r="D33" s="256"/>
      <c r="E33" s="256"/>
      <c r="F33" s="333"/>
      <c r="G33" s="333"/>
      <c r="H33" s="256"/>
      <c r="I33" s="256"/>
      <c r="J33" s="256"/>
      <c r="K33" s="256"/>
      <c r="L33" s="256"/>
      <c r="M33" s="256"/>
      <c r="N33" s="256"/>
    </row>
    <row r="34" spans="1:14" s="519" customFormat="1">
      <c r="A34" s="256"/>
      <c r="B34" s="256"/>
      <c r="C34" s="256"/>
      <c r="D34" s="256"/>
      <c r="E34" s="256"/>
      <c r="F34" s="333"/>
      <c r="G34" s="333"/>
      <c r="H34" s="256"/>
      <c r="I34" s="256"/>
      <c r="J34" s="256"/>
      <c r="K34" s="256"/>
      <c r="L34" s="256"/>
      <c r="M34" s="256"/>
      <c r="N34" s="256"/>
    </row>
    <row r="35" spans="1:14" s="315" customFormat="1">
      <c r="A35" s="256"/>
      <c r="B35" s="256"/>
      <c r="C35" s="256"/>
      <c r="D35" s="256"/>
      <c r="E35" s="256"/>
      <c r="F35" s="333"/>
      <c r="G35" s="333"/>
      <c r="H35" s="256"/>
      <c r="I35" s="256"/>
      <c r="J35" s="256"/>
      <c r="K35" s="256"/>
      <c r="L35" s="256"/>
      <c r="M35" s="256"/>
      <c r="N35" s="256"/>
    </row>
    <row r="48" spans="1:14">
      <c r="B48" s="258"/>
      <c r="C48" s="258"/>
    </row>
  </sheetData>
  <mergeCells count="12">
    <mergeCell ref="A11:H11"/>
    <mergeCell ref="I11:N11"/>
    <mergeCell ref="A3:N3"/>
    <mergeCell ref="A4:N4"/>
    <mergeCell ref="A5:N5"/>
    <mergeCell ref="A9:N9"/>
    <mergeCell ref="A10:N10"/>
    <mergeCell ref="A12:N12"/>
    <mergeCell ref="F15:K15"/>
    <mergeCell ref="E18:K18"/>
    <mergeCell ref="E19:E27"/>
    <mergeCell ref="I28:J28"/>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B619-E9D4-4C85-B9F1-4FFEBE158556}">
  <sheetPr>
    <tabColor indexed="44"/>
  </sheetPr>
  <dimension ref="A1:O47"/>
  <sheetViews>
    <sheetView zoomScale="80" zoomScaleNormal="80" workbookViewId="0">
      <selection activeCell="A5" sqref="A5:N5"/>
    </sheetView>
  </sheetViews>
  <sheetFormatPr defaultColWidth="8.85546875" defaultRowHeight="12.75"/>
  <cols>
    <col min="1" max="1" width="15" style="256" customWidth="1"/>
    <col min="2" max="2" width="10" style="256" customWidth="1"/>
    <col min="3" max="3" width="16.5703125" style="256" customWidth="1"/>
    <col min="4" max="4" width="44.42578125" style="256" customWidth="1"/>
    <col min="5" max="5" width="17.42578125" style="256" customWidth="1"/>
    <col min="6" max="6" width="15.5703125" style="333" customWidth="1"/>
    <col min="7" max="7" width="23.42578125" style="333" customWidth="1"/>
    <col min="8" max="8" width="31.85546875" style="256" bestFit="1" customWidth="1"/>
    <col min="9" max="9" width="19" style="256" customWidth="1"/>
    <col min="10" max="10" width="25" style="256" bestFit="1" customWidth="1"/>
    <col min="11" max="11" width="19" style="256" customWidth="1"/>
    <col min="12" max="12" width="25" style="256" bestFit="1" customWidth="1"/>
    <col min="13" max="13" width="18.42578125" style="256" customWidth="1"/>
    <col min="14" max="14" width="25" style="256" bestFit="1" customWidth="1"/>
    <col min="15" max="16384" width="8.85546875" style="256"/>
  </cols>
  <sheetData>
    <row r="1" spans="1:15" ht="13.5" thickBot="1">
      <c r="B1" s="257"/>
      <c r="C1" s="257"/>
      <c r="D1" s="258"/>
      <c r="E1" s="258"/>
      <c r="F1" s="259"/>
      <c r="G1" s="259"/>
      <c r="H1" s="259"/>
      <c r="I1" s="259"/>
      <c r="J1" s="259"/>
      <c r="K1" s="258"/>
      <c r="L1" s="259"/>
    </row>
    <row r="2" spans="1:15" ht="9" customHeight="1">
      <c r="A2" s="260"/>
      <c r="B2" s="261"/>
      <c r="C2" s="261"/>
      <c r="D2" s="262"/>
      <c r="E2" s="262"/>
      <c r="F2" s="263"/>
      <c r="G2" s="263"/>
      <c r="H2" s="263"/>
      <c r="I2" s="264"/>
      <c r="J2" s="264"/>
      <c r="K2" s="264"/>
      <c r="L2" s="264"/>
      <c r="M2" s="260"/>
      <c r="N2" s="260"/>
    </row>
    <row r="3" spans="1:15" ht="10.5" customHeight="1">
      <c r="B3" s="257"/>
      <c r="C3" s="257"/>
      <c r="D3" s="258"/>
      <c r="E3" s="258"/>
      <c r="F3" s="259"/>
      <c r="G3" s="259"/>
      <c r="H3" s="259"/>
      <c r="I3" s="265"/>
      <c r="J3" s="265"/>
      <c r="K3" s="265"/>
      <c r="L3" s="265"/>
    </row>
    <row r="4" spans="1:15" ht="36" customHeight="1">
      <c r="A4" s="1112" t="s">
        <v>4072</v>
      </c>
      <c r="B4" s="1112"/>
      <c r="C4" s="1112"/>
      <c r="D4" s="1112"/>
      <c r="E4" s="1112"/>
      <c r="F4" s="1112"/>
      <c r="G4" s="1112"/>
      <c r="H4" s="1112"/>
      <c r="I4" s="1112"/>
      <c r="J4" s="1112"/>
      <c r="K4" s="1112"/>
      <c r="L4" s="1112"/>
      <c r="M4" s="1112"/>
      <c r="N4" s="1112"/>
    </row>
    <row r="5" spans="1:15" s="266" customFormat="1" ht="41.25" customHeight="1">
      <c r="A5" s="1257" t="s">
        <v>4060</v>
      </c>
      <c r="B5" s="1257"/>
      <c r="C5" s="1257"/>
      <c r="D5" s="1257"/>
      <c r="E5" s="1257"/>
      <c r="F5" s="1257"/>
      <c r="G5" s="1257"/>
      <c r="H5" s="1257"/>
      <c r="I5" s="1257"/>
      <c r="J5" s="1257"/>
      <c r="K5" s="1257"/>
      <c r="L5" s="1257"/>
      <c r="M5" s="1257"/>
      <c r="N5" s="1257"/>
    </row>
    <row r="6" spans="1:15" ht="9" customHeight="1" thickBot="1">
      <c r="A6" s="267"/>
      <c r="B6" s="267"/>
      <c r="C6" s="267"/>
      <c r="D6" s="267"/>
      <c r="E6" s="267"/>
      <c r="F6" s="267"/>
      <c r="G6" s="267"/>
      <c r="H6" s="267"/>
      <c r="I6" s="267"/>
      <c r="J6" s="267"/>
      <c r="K6" s="267"/>
      <c r="L6" s="506"/>
      <c r="M6" s="267"/>
      <c r="N6" s="267"/>
    </row>
    <row r="7" spans="1:15" s="265" customFormat="1" ht="14.25">
      <c r="B7" s="268"/>
      <c r="C7" s="268"/>
      <c r="D7" s="269"/>
      <c r="E7" s="269"/>
      <c r="F7" s="269"/>
      <c r="G7" s="269"/>
      <c r="H7" s="269"/>
      <c r="I7" s="269"/>
      <c r="J7" s="269"/>
      <c r="K7" s="269"/>
      <c r="L7" s="269"/>
      <c r="M7" s="269"/>
      <c r="N7" s="269"/>
      <c r="O7" s="269"/>
    </row>
    <row r="8" spans="1:15" s="265" customFormat="1" ht="12" customHeight="1" thickBot="1">
      <c r="F8" s="446"/>
      <c r="G8" s="446"/>
      <c r="H8" s="270"/>
      <c r="I8" s="282"/>
      <c r="J8" s="282"/>
      <c r="L8" s="282"/>
    </row>
    <row r="9" spans="1:15" s="265" customFormat="1" ht="18">
      <c r="A9" s="1231" t="s">
        <v>30</v>
      </c>
      <c r="B9" s="1232"/>
      <c r="C9" s="1232"/>
      <c r="D9" s="1232"/>
      <c r="E9" s="1232"/>
      <c r="F9" s="1232"/>
      <c r="G9" s="1232"/>
      <c r="H9" s="1232"/>
      <c r="I9" s="1232"/>
      <c r="J9" s="1232"/>
      <c r="K9" s="1232"/>
      <c r="L9" s="1232"/>
      <c r="M9" s="1232"/>
      <c r="N9" s="1232"/>
    </row>
    <row r="10" spans="1:15" s="265" customFormat="1" ht="18" customHeight="1">
      <c r="A10" s="1258" t="s">
        <v>840</v>
      </c>
      <c r="B10" s="1259"/>
      <c r="C10" s="1259"/>
      <c r="D10" s="1259"/>
      <c r="E10" s="1259"/>
      <c r="F10" s="1259"/>
      <c r="G10" s="1259"/>
      <c r="H10" s="1259"/>
      <c r="I10" s="1259"/>
      <c r="J10" s="1259"/>
      <c r="K10" s="1259"/>
      <c r="L10" s="1259"/>
      <c r="M10" s="1259"/>
      <c r="N10" s="1259"/>
    </row>
    <row r="11" spans="1:15" s="265" customFormat="1" ht="18" customHeight="1">
      <c r="A11" s="1219" t="s">
        <v>828</v>
      </c>
      <c r="B11" s="1220"/>
      <c r="C11" s="1220"/>
      <c r="D11" s="1220"/>
      <c r="E11" s="1220"/>
      <c r="F11" s="1220"/>
      <c r="G11" s="1220"/>
      <c r="H11" s="1220"/>
      <c r="I11" s="1255">
        <v>5220</v>
      </c>
      <c r="J11" s="1255"/>
      <c r="K11" s="1255"/>
      <c r="L11" s="1255"/>
      <c r="M11" s="1255"/>
      <c r="N11" s="1255"/>
    </row>
    <row r="12" spans="1:15" s="265" customFormat="1" ht="18" customHeight="1" thickBot="1">
      <c r="A12" s="1221" t="s">
        <v>829</v>
      </c>
      <c r="B12" s="1222"/>
      <c r="C12" s="1222"/>
      <c r="D12" s="1222"/>
      <c r="E12" s="1222"/>
      <c r="F12" s="1222"/>
      <c r="G12" s="1222"/>
      <c r="H12" s="1222"/>
      <c r="I12" s="1222"/>
      <c r="J12" s="1222"/>
      <c r="K12" s="1222"/>
      <c r="L12" s="1222"/>
      <c r="M12" s="1222"/>
      <c r="N12" s="1222"/>
    </row>
    <row r="13" spans="1:15" s="265" customFormat="1" ht="14.25">
      <c r="D13" s="277"/>
      <c r="E13" s="277"/>
      <c r="F13" s="283"/>
      <c r="G13" s="283"/>
      <c r="I13" s="288"/>
      <c r="J13" s="288"/>
      <c r="K13" s="288"/>
      <c r="L13" s="288"/>
    </row>
    <row r="14" spans="1:15" s="265" customFormat="1" ht="13.5" thickBot="1">
      <c r="F14" s="1248" t="s">
        <v>43</v>
      </c>
      <c r="G14" s="1249"/>
      <c r="H14" s="1249"/>
      <c r="I14" s="1249"/>
      <c r="J14" s="1249"/>
      <c r="K14" s="1249"/>
    </row>
    <row r="15" spans="1:15" s="265" customFormat="1" ht="57.75" customHeight="1" thickBot="1">
      <c r="E15" s="188" t="s">
        <v>45</v>
      </c>
      <c r="F15" s="188" t="s">
        <v>46</v>
      </c>
      <c r="G15" s="189" t="s">
        <v>47</v>
      </c>
      <c r="H15" s="189" t="s">
        <v>48</v>
      </c>
      <c r="I15" s="189" t="s">
        <v>49</v>
      </c>
      <c r="J15" s="189" t="s">
        <v>830</v>
      </c>
      <c r="K15" s="188" t="s">
        <v>51</v>
      </c>
    </row>
    <row r="16" spans="1:15" s="265" customFormat="1" ht="35.65" customHeight="1" thickBot="1">
      <c r="E16" s="190">
        <v>31</v>
      </c>
      <c r="F16" s="191"/>
      <c r="G16" s="948" t="s">
        <v>4058</v>
      </c>
      <c r="H16" s="206" t="s">
        <v>4059</v>
      </c>
      <c r="I16" s="194">
        <v>39800</v>
      </c>
      <c r="J16" s="510">
        <f>SUM(I16:I16)*(1-22%)+I11</f>
        <v>36264</v>
      </c>
      <c r="K16" s="30">
        <f>J16*F16</f>
        <v>0</v>
      </c>
    </row>
    <row r="17" spans="1:14" s="198" customFormat="1" ht="15.75" customHeight="1" thickBot="1">
      <c r="E17" s="1250" t="s">
        <v>831</v>
      </c>
      <c r="F17" s="1251"/>
      <c r="G17" s="1251"/>
      <c r="H17" s="1251"/>
      <c r="I17" s="1251"/>
      <c r="J17" s="1251"/>
      <c r="K17" s="1253"/>
    </row>
    <row r="18" spans="1:14" s="198" customFormat="1" ht="13.5" thickBot="1">
      <c r="E18" s="1260"/>
      <c r="F18" s="416"/>
      <c r="G18" s="516" t="s">
        <v>4056</v>
      </c>
      <c r="H18" s="517" t="s">
        <v>4057</v>
      </c>
      <c r="I18" s="38">
        <v>3000</v>
      </c>
      <c r="J18" s="38">
        <f t="shared" ref="J18:J26" si="0">I18*(1-10%)</f>
        <v>2700</v>
      </c>
      <c r="K18" s="41">
        <f t="shared" ref="K18:K26" si="1">J18*F18</f>
        <v>0</v>
      </c>
      <c r="L18" s="528"/>
    </row>
    <row r="19" spans="1:14" s="291" customFormat="1" ht="43.15" customHeight="1" thickBot="1">
      <c r="E19" s="1254"/>
      <c r="F19" s="416"/>
      <c r="G19" s="516" t="s">
        <v>4054</v>
      </c>
      <c r="H19" s="517" t="s">
        <v>4055</v>
      </c>
      <c r="I19" s="38">
        <v>795</v>
      </c>
      <c r="J19" s="38">
        <f t="shared" si="0"/>
        <v>715.5</v>
      </c>
      <c r="K19" s="41">
        <f t="shared" si="1"/>
        <v>0</v>
      </c>
      <c r="L19" s="528"/>
    </row>
    <row r="20" spans="1:14" s="198" customFormat="1" ht="13.5" thickBot="1">
      <c r="E20" s="933"/>
      <c r="F20" s="416"/>
      <c r="G20" s="944" t="s">
        <v>839</v>
      </c>
      <c r="H20" s="945" t="s">
        <v>4065</v>
      </c>
      <c r="I20" s="703">
        <v>727</v>
      </c>
      <c r="J20" s="38">
        <f t="shared" si="0"/>
        <v>654.30000000000007</v>
      </c>
      <c r="K20" s="41">
        <f t="shared" si="1"/>
        <v>0</v>
      </c>
      <c r="L20" s="528"/>
    </row>
    <row r="21" spans="1:14" s="198" customFormat="1" ht="13.5" thickBot="1">
      <c r="E21" s="933"/>
      <c r="F21" s="416"/>
      <c r="G21" s="946" t="s">
        <v>833</v>
      </c>
      <c r="H21" s="947" t="s">
        <v>4066</v>
      </c>
      <c r="I21" s="38">
        <v>70</v>
      </c>
      <c r="J21" s="38">
        <f t="shared" si="0"/>
        <v>63</v>
      </c>
      <c r="K21" s="41">
        <f t="shared" si="1"/>
        <v>0</v>
      </c>
      <c r="L21" s="528"/>
    </row>
    <row r="22" spans="1:14" s="198" customFormat="1" ht="13.5" thickBot="1">
      <c r="E22" s="933"/>
      <c r="F22" s="416"/>
      <c r="G22" s="946" t="s">
        <v>834</v>
      </c>
      <c r="H22" s="947" t="s">
        <v>4067</v>
      </c>
      <c r="I22" s="38">
        <v>1932.9896907216496</v>
      </c>
      <c r="J22" s="38">
        <f t="shared" si="0"/>
        <v>1739.6907216494847</v>
      </c>
      <c r="K22" s="41">
        <f t="shared" si="1"/>
        <v>0</v>
      </c>
      <c r="L22" s="528"/>
    </row>
    <row r="23" spans="1:14" s="519" customFormat="1" ht="13.5" thickBot="1">
      <c r="E23" s="933"/>
      <c r="F23" s="416"/>
      <c r="G23" s="946" t="s">
        <v>835</v>
      </c>
      <c r="H23" s="947" t="s">
        <v>4068</v>
      </c>
      <c r="I23" s="38">
        <v>70</v>
      </c>
      <c r="J23" s="38">
        <f t="shared" si="0"/>
        <v>63</v>
      </c>
      <c r="K23" s="41">
        <f t="shared" si="1"/>
        <v>0</v>
      </c>
      <c r="L23" s="528"/>
    </row>
    <row r="24" spans="1:14" s="291" customFormat="1" ht="13.5" thickBot="1">
      <c r="E24" s="933"/>
      <c r="F24" s="416"/>
      <c r="G24" s="946" t="s">
        <v>836</v>
      </c>
      <c r="H24" s="947" t="s">
        <v>4069</v>
      </c>
      <c r="I24" s="38">
        <v>95</v>
      </c>
      <c r="J24" s="38">
        <f t="shared" si="0"/>
        <v>85.5</v>
      </c>
      <c r="K24" s="41">
        <f t="shared" si="1"/>
        <v>0</v>
      </c>
      <c r="L24" s="528"/>
    </row>
    <row r="25" spans="1:14" s="198" customFormat="1" ht="13.5" thickBot="1">
      <c r="E25" s="933"/>
      <c r="F25" s="416"/>
      <c r="G25" s="946" t="s">
        <v>837</v>
      </c>
      <c r="H25" s="947" t="s">
        <v>4070</v>
      </c>
      <c r="I25" s="38">
        <v>185</v>
      </c>
      <c r="J25" s="38">
        <f t="shared" si="0"/>
        <v>166.5</v>
      </c>
      <c r="K25" s="41">
        <f t="shared" si="1"/>
        <v>0</v>
      </c>
      <c r="L25" s="528"/>
    </row>
    <row r="26" spans="1:14" s="198" customFormat="1" ht="13.5" thickBot="1">
      <c r="E26" s="933"/>
      <c r="F26" s="416"/>
      <c r="G26" s="946" t="s">
        <v>838</v>
      </c>
      <c r="H26" s="947" t="s">
        <v>4071</v>
      </c>
      <c r="I26" s="38">
        <v>95</v>
      </c>
      <c r="J26" s="38">
        <f t="shared" si="0"/>
        <v>85.5</v>
      </c>
      <c r="K26" s="41">
        <f t="shared" si="1"/>
        <v>0</v>
      </c>
      <c r="L26" s="528"/>
    </row>
    <row r="27" spans="1:14" s="291" customFormat="1" ht="15">
      <c r="A27" s="519"/>
      <c r="B27" s="258"/>
      <c r="C27" s="258"/>
      <c r="D27" s="1008"/>
      <c r="E27" s="1088"/>
      <c r="F27" s="1088"/>
      <c r="G27" s="520"/>
      <c r="I27" s="1183" t="s">
        <v>65</v>
      </c>
      <c r="J27" s="1183"/>
      <c r="K27" s="520">
        <f>SUM(K18:K26)+K16</f>
        <v>0</v>
      </c>
    </row>
    <row r="28" spans="1:14" s="291" customFormat="1">
      <c r="A28" s="315"/>
      <c r="B28" s="256"/>
      <c r="C28" s="256"/>
      <c r="D28" s="315"/>
      <c r="E28" s="315"/>
      <c r="F28" s="456"/>
      <c r="G28" s="456"/>
      <c r="H28" s="315"/>
      <c r="I28" s="315"/>
      <c r="J28" s="315"/>
      <c r="K28" s="315"/>
      <c r="L28" s="315"/>
      <c r="M28" s="315"/>
      <c r="N28" s="315"/>
    </row>
    <row r="29" spans="1:14" s="291" customFormat="1" ht="15.75">
      <c r="A29" s="256"/>
      <c r="B29" s="521"/>
      <c r="C29" s="521"/>
      <c r="D29" s="522"/>
      <c r="E29" s="522"/>
      <c r="F29" s="523"/>
      <c r="G29" s="333"/>
      <c r="H29" s="256"/>
      <c r="I29" s="256"/>
      <c r="J29" s="256"/>
      <c r="K29" s="256"/>
      <c r="L29" s="256"/>
      <c r="M29" s="256"/>
      <c r="N29" s="256"/>
    </row>
    <row r="30" spans="1:14" s="519" customFormat="1">
      <c r="A30" s="256"/>
      <c r="B30" s="256"/>
      <c r="C30" s="256"/>
      <c r="D30" s="256"/>
      <c r="E30" s="256"/>
      <c r="F30" s="523"/>
      <c r="G30" s="333"/>
      <c r="H30" s="256"/>
      <c r="I30" s="256"/>
      <c r="J30" s="256"/>
      <c r="K30" s="256"/>
      <c r="L30" s="256"/>
      <c r="M30" s="256"/>
      <c r="N30" s="256"/>
    </row>
    <row r="31" spans="1:14" s="519" customFormat="1">
      <c r="A31" s="256"/>
      <c r="B31" s="256"/>
      <c r="C31" s="256"/>
      <c r="D31" s="256"/>
      <c r="E31" s="256"/>
      <c r="F31" s="333"/>
      <c r="G31" s="333"/>
      <c r="H31" s="256"/>
      <c r="I31" s="256"/>
      <c r="J31" s="256"/>
      <c r="K31" s="256"/>
      <c r="L31" s="256"/>
      <c r="M31" s="256"/>
      <c r="N31" s="256"/>
    </row>
    <row r="32" spans="1:14" s="524" customFormat="1" hidden="1">
      <c r="A32" s="256"/>
      <c r="B32" s="256"/>
      <c r="C32" s="256"/>
      <c r="D32" s="256"/>
      <c r="E32" s="256"/>
      <c r="F32" s="333"/>
      <c r="G32" s="333"/>
      <c r="H32" s="256"/>
      <c r="I32" s="256"/>
      <c r="J32" s="256"/>
      <c r="K32" s="256"/>
      <c r="L32" s="256"/>
      <c r="M32" s="256"/>
      <c r="N32" s="256"/>
    </row>
    <row r="33" spans="1:14" s="519" customFormat="1">
      <c r="A33" s="256"/>
      <c r="B33" s="256"/>
      <c r="C33" s="256"/>
      <c r="D33" s="256"/>
      <c r="E33" s="256"/>
      <c r="F33" s="333"/>
      <c r="G33" s="333"/>
      <c r="H33" s="256"/>
      <c r="I33" s="256"/>
      <c r="J33" s="256"/>
      <c r="K33" s="256"/>
      <c r="L33" s="256"/>
      <c r="M33" s="256"/>
      <c r="N33" s="256"/>
    </row>
    <row r="34" spans="1:14" s="315" customFormat="1">
      <c r="A34" s="256"/>
      <c r="B34" s="256"/>
      <c r="C34" s="256"/>
      <c r="D34" s="256"/>
      <c r="E34" s="256"/>
      <c r="F34" s="333"/>
      <c r="G34" s="333"/>
      <c r="H34" s="256"/>
      <c r="I34" s="256"/>
      <c r="J34" s="256"/>
      <c r="K34" s="256"/>
      <c r="L34" s="256"/>
      <c r="M34" s="256"/>
      <c r="N34" s="256"/>
    </row>
    <row r="42" spans="1:14">
      <c r="L42" s="859"/>
    </row>
    <row r="47" spans="1:14">
      <c r="B47" s="258"/>
      <c r="C47" s="258"/>
    </row>
  </sheetData>
  <mergeCells count="12">
    <mergeCell ref="A4:N4"/>
    <mergeCell ref="A5:N5"/>
    <mergeCell ref="A9:N9"/>
    <mergeCell ref="A10:N10"/>
    <mergeCell ref="A11:H11"/>
    <mergeCell ref="I11:N11"/>
    <mergeCell ref="A12:N12"/>
    <mergeCell ref="F14:K14"/>
    <mergeCell ref="E17:K17"/>
    <mergeCell ref="D27:F27"/>
    <mergeCell ref="I27:J27"/>
    <mergeCell ref="E18:E19"/>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FE7FD-7CC6-49C6-A9AC-A4FE9A514BA0}">
  <sheetPr>
    <tabColor indexed="44"/>
  </sheetPr>
  <dimension ref="A1:R46"/>
  <sheetViews>
    <sheetView zoomScale="80" zoomScaleNormal="80" workbookViewId="0">
      <selection activeCell="A5" sqref="A5:O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0.85546875" style="256"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842</v>
      </c>
      <c r="B4" s="1020"/>
      <c r="C4" s="1020"/>
      <c r="D4" s="1020"/>
      <c r="E4" s="1020"/>
      <c r="F4" s="1020"/>
      <c r="G4" s="1020"/>
      <c r="H4" s="1020"/>
      <c r="I4" s="1020"/>
      <c r="J4" s="1020"/>
      <c r="K4" s="1020"/>
      <c r="L4" s="1020"/>
      <c r="M4" s="1020"/>
      <c r="N4" s="1020"/>
      <c r="O4" s="1020"/>
    </row>
    <row r="5" spans="1:18" s="266" customFormat="1" ht="41.25" customHeight="1">
      <c r="A5" s="1188" t="s">
        <v>843</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F8" s="446"/>
      <c r="G8" s="446"/>
      <c r="H8" s="1262"/>
      <c r="I8" s="1262"/>
      <c r="J8" s="1262"/>
      <c r="K8" s="507"/>
    </row>
    <row r="9" spans="1:18" s="265" customFormat="1">
      <c r="F9" s="446"/>
      <c r="G9" s="446"/>
      <c r="H9" s="270"/>
    </row>
    <row r="10" spans="1:18" s="265" customFormat="1">
      <c r="F10" s="446"/>
      <c r="G10" s="446"/>
      <c r="H10" s="270"/>
      <c r="J10" s="282"/>
      <c r="L10" s="282"/>
    </row>
    <row r="11" spans="1:18" s="265" customFormat="1" ht="12" customHeight="1">
      <c r="F11" s="446"/>
      <c r="G11" s="446"/>
      <c r="H11" s="270"/>
      <c r="I11" s="282"/>
      <c r="J11" s="282"/>
      <c r="L11" s="282"/>
    </row>
    <row r="12" spans="1:18" s="265" customFormat="1" ht="18.75" thickBot="1">
      <c r="A12" s="1263" t="s">
        <v>30</v>
      </c>
      <c r="B12" s="1230"/>
      <c r="C12" s="1230"/>
      <c r="D12" s="1230"/>
      <c r="E12" s="1230"/>
      <c r="F12" s="1230"/>
      <c r="G12" s="1230"/>
      <c r="H12" s="1230"/>
      <c r="I12" s="1230"/>
      <c r="J12" s="1230"/>
      <c r="K12" s="1230"/>
      <c r="L12" s="1230"/>
      <c r="M12" s="1230"/>
      <c r="N12" s="1230"/>
      <c r="O12" s="1230"/>
      <c r="P12" s="1230"/>
      <c r="Q12" s="1230"/>
    </row>
    <row r="13" spans="1:18" s="265" customFormat="1" ht="18" customHeight="1">
      <c r="A13" s="1264" t="s">
        <v>844</v>
      </c>
      <c r="B13" s="1265"/>
      <c r="C13" s="1265"/>
      <c r="D13" s="1265"/>
      <c r="E13" s="1265"/>
      <c r="F13" s="1265"/>
      <c r="G13" s="1265"/>
      <c r="H13" s="1265"/>
      <c r="I13" s="1265"/>
      <c r="J13" s="1265"/>
      <c r="K13" s="1265"/>
      <c r="L13" s="1265"/>
      <c r="M13" s="1265"/>
      <c r="N13" s="1265"/>
      <c r="O13" s="1265"/>
      <c r="P13" s="1265"/>
      <c r="Q13" s="1266"/>
    </row>
    <row r="14" spans="1:18" s="265" customFormat="1" ht="18" customHeight="1">
      <c r="A14" s="1219" t="s">
        <v>845</v>
      </c>
      <c r="B14" s="1220"/>
      <c r="C14" s="1220"/>
      <c r="D14" s="1220"/>
      <c r="E14" s="1220"/>
      <c r="F14" s="1220"/>
      <c r="G14" s="1220"/>
      <c r="H14" s="1220"/>
      <c r="I14" s="1255">
        <v>1500</v>
      </c>
      <c r="J14" s="1255"/>
      <c r="K14" s="1255"/>
      <c r="L14" s="1255"/>
      <c r="M14" s="1255"/>
      <c r="N14" s="1255"/>
      <c r="O14" s="1255"/>
      <c r="P14" s="1255"/>
      <c r="Q14" s="1267"/>
    </row>
    <row r="15" spans="1:18" s="265" customFormat="1" ht="18" customHeight="1" thickBot="1">
      <c r="A15" s="1221" t="s">
        <v>846</v>
      </c>
      <c r="B15" s="1222"/>
      <c r="C15" s="1222"/>
      <c r="D15" s="1222"/>
      <c r="E15" s="1222"/>
      <c r="F15" s="1222"/>
      <c r="G15" s="1222"/>
      <c r="H15" s="1222"/>
      <c r="I15" s="1222"/>
      <c r="J15" s="1222"/>
      <c r="K15" s="1222"/>
      <c r="L15" s="1222"/>
      <c r="M15" s="1222"/>
      <c r="N15" s="1222"/>
      <c r="O15" s="1222"/>
      <c r="P15" s="1222"/>
      <c r="Q15" s="1223"/>
    </row>
    <row r="16" spans="1:18" s="265" customFormat="1" ht="15" thickBot="1">
      <c r="D16" s="277"/>
      <c r="E16" s="277"/>
      <c r="F16" s="283"/>
      <c r="G16" s="283"/>
      <c r="I16" s="288"/>
      <c r="J16" s="288"/>
      <c r="K16" s="288"/>
      <c r="L16" s="288"/>
    </row>
    <row r="17" spans="1:18" s="265" customFormat="1" ht="13.5" thickBot="1">
      <c r="F17" s="1021" t="s">
        <v>43</v>
      </c>
      <c r="G17" s="1022"/>
      <c r="H17" s="1268" t="s">
        <v>44</v>
      </c>
      <c r="I17" s="1269"/>
      <c r="J17" s="1269"/>
      <c r="K17" s="1269"/>
      <c r="L17" s="1269"/>
      <c r="M17" s="1269"/>
      <c r="N17" s="1269"/>
      <c r="O17" s="1269"/>
      <c r="P17" s="1269"/>
      <c r="Q17" s="1269"/>
    </row>
    <row r="18" spans="1:18" s="265" customFormat="1" ht="57.75" customHeight="1" thickBot="1">
      <c r="A18" s="188" t="s">
        <v>45</v>
      </c>
      <c r="B18" s="188" t="s">
        <v>46</v>
      </c>
      <c r="C18" s="189" t="s">
        <v>47</v>
      </c>
      <c r="D18" s="189" t="s">
        <v>48</v>
      </c>
      <c r="E18" s="189" t="s">
        <v>49</v>
      </c>
      <c r="F18" s="189" t="s">
        <v>50</v>
      </c>
      <c r="G18" s="188" t="s">
        <v>51</v>
      </c>
      <c r="H18" s="189" t="s">
        <v>53</v>
      </c>
      <c r="I18" s="188" t="s">
        <v>51</v>
      </c>
      <c r="J18" s="189" t="s">
        <v>54</v>
      </c>
      <c r="K18" s="188" t="s">
        <v>51</v>
      </c>
      <c r="L18" s="189" t="s">
        <v>55</v>
      </c>
      <c r="M18" s="188" t="s">
        <v>51</v>
      </c>
      <c r="N18" s="189" t="s">
        <v>847</v>
      </c>
      <c r="O18" s="188" t="s">
        <v>51</v>
      </c>
      <c r="P18" s="189" t="s">
        <v>848</v>
      </c>
      <c r="Q18" s="188" t="s">
        <v>51</v>
      </c>
    </row>
    <row r="19" spans="1:18" s="265" customFormat="1" ht="46.5" customHeight="1" thickBot="1">
      <c r="A19" s="428">
        <v>40</v>
      </c>
      <c r="B19" s="191"/>
      <c r="C19" s="936" t="s">
        <v>4061</v>
      </c>
      <c r="D19" s="206" t="s">
        <v>4062</v>
      </c>
      <c r="E19" s="194">
        <v>26000</v>
      </c>
      <c r="F19" s="510">
        <f>SUM(E19:E19)*(1-22%)</f>
        <v>20280</v>
      </c>
      <c r="G19" s="30">
        <f>F19*B19</f>
        <v>0</v>
      </c>
      <c r="H19" s="510">
        <f>F19*0.03137+I14/12</f>
        <v>761.18360000000007</v>
      </c>
      <c r="I19" s="30">
        <f>H19*B19</f>
        <v>0</v>
      </c>
      <c r="J19" s="510">
        <f>F19*0.0274+I14/12</f>
        <v>680.67200000000003</v>
      </c>
      <c r="K19" s="30">
        <f>J19*B19</f>
        <v>0</v>
      </c>
      <c r="L19" s="30">
        <f>F19*0.0228+I14/12</f>
        <v>587.38400000000001</v>
      </c>
      <c r="M19" s="30">
        <f>L19*B19</f>
        <v>0</v>
      </c>
      <c r="N19" s="30">
        <f>F19*0.0204+I14/12</f>
        <v>538.71199999999999</v>
      </c>
      <c r="O19" s="30">
        <f>N19*B19</f>
        <v>0</v>
      </c>
      <c r="P19" s="30">
        <f>F19*0.0185+I14/12</f>
        <v>500.18</v>
      </c>
      <c r="Q19" s="30">
        <f>P19*B19</f>
        <v>0</v>
      </c>
    </row>
    <row r="20" spans="1:18" s="198" customFormat="1" ht="15.75" customHeight="1" thickBot="1">
      <c r="A20" s="1250" t="s">
        <v>59</v>
      </c>
      <c r="B20" s="1251"/>
      <c r="C20" s="1251"/>
      <c r="D20" s="1251"/>
      <c r="E20" s="1251"/>
      <c r="F20" s="1251"/>
      <c r="G20" s="1251"/>
      <c r="H20" s="1251"/>
      <c r="I20" s="1251"/>
      <c r="J20" s="1251"/>
      <c r="K20" s="1251"/>
      <c r="L20" s="1251"/>
      <c r="M20" s="1251"/>
      <c r="N20" s="1251"/>
      <c r="O20" s="1251"/>
      <c r="P20" s="1251"/>
      <c r="Q20" s="1253"/>
    </row>
    <row r="21" spans="1:18" s="198" customFormat="1" ht="13.5" thickBot="1">
      <c r="A21" s="1006"/>
      <c r="B21" s="860"/>
      <c r="C21" s="861" t="s">
        <v>858</v>
      </c>
      <c r="D21" s="937" t="s">
        <v>4063</v>
      </c>
      <c r="E21" s="863">
        <v>973</v>
      </c>
      <c r="F21" s="39">
        <f>E21*(1-20%)</f>
        <v>778.40000000000009</v>
      </c>
      <c r="G21" s="599">
        <f>F21*B21</f>
        <v>0</v>
      </c>
      <c r="H21" s="39">
        <f>F21*0.03137</f>
        <v>24.418408000000003</v>
      </c>
      <c r="I21" s="599">
        <f>H21*B21</f>
        <v>0</v>
      </c>
      <c r="J21" s="39">
        <f>F21*0.0274</f>
        <v>21.328160000000004</v>
      </c>
      <c r="K21" s="599">
        <f>J21*B21</f>
        <v>0</v>
      </c>
      <c r="L21" s="39">
        <f>F21*0.0228</f>
        <v>17.747520000000002</v>
      </c>
      <c r="M21" s="39">
        <f>L21*B21</f>
        <v>0</v>
      </c>
      <c r="N21" s="39">
        <f>F21*0.0204</f>
        <v>15.879360000000004</v>
      </c>
      <c r="O21" s="39">
        <f>N21*B21</f>
        <v>0</v>
      </c>
      <c r="P21" s="39">
        <f>F21*0.0185</f>
        <v>14.400400000000001</v>
      </c>
      <c r="Q21" s="39">
        <f>P21*B21</f>
        <v>0</v>
      </c>
      <c r="R21" s="528"/>
    </row>
    <row r="22" spans="1:18" s="519" customFormat="1" ht="13.5" thickBot="1">
      <c r="A22" s="1172"/>
      <c r="B22" s="416"/>
      <c r="C22" s="864" t="s">
        <v>849</v>
      </c>
      <c r="D22" s="865" t="s">
        <v>4064</v>
      </c>
      <c r="E22" s="866">
        <v>950</v>
      </c>
      <c r="F22" s="594">
        <f>E22*(1-20%)</f>
        <v>760</v>
      </c>
      <c r="G22" s="41">
        <f>F22*B22</f>
        <v>0</v>
      </c>
      <c r="H22" s="39">
        <f>F22*0.03137</f>
        <v>23.841200000000001</v>
      </c>
      <c r="I22" s="40">
        <f>H22*B22</f>
        <v>0</v>
      </c>
      <c r="J22" s="39">
        <f>F22*0.0274</f>
        <v>20.824000000000002</v>
      </c>
      <c r="K22" s="40">
        <f>J22*B22</f>
        <v>0</v>
      </c>
      <c r="L22" s="39">
        <f>F22*0.0228</f>
        <v>17.327999999999999</v>
      </c>
      <c r="M22" s="39">
        <f>L22*B22</f>
        <v>0</v>
      </c>
      <c r="N22" s="39">
        <f>F22*0.0204</f>
        <v>15.504000000000001</v>
      </c>
      <c r="O22" s="39">
        <f>N22*B22</f>
        <v>0</v>
      </c>
      <c r="P22" s="39">
        <f>F22*0.0185</f>
        <v>14.059999999999999</v>
      </c>
      <c r="Q22" s="39">
        <f>P22*B22</f>
        <v>0</v>
      </c>
      <c r="R22" s="528"/>
    </row>
    <row r="23" spans="1:18" s="291" customFormat="1" ht="13.5" thickBot="1">
      <c r="A23" s="1172"/>
      <c r="B23" s="416"/>
      <c r="C23" s="864" t="s">
        <v>851</v>
      </c>
      <c r="D23" s="865" t="s">
        <v>852</v>
      </c>
      <c r="E23" s="866">
        <v>1350</v>
      </c>
      <c r="F23" s="594">
        <f>E23*(1-20%)</f>
        <v>1080</v>
      </c>
      <c r="G23" s="41">
        <f>F23*B23</f>
        <v>0</v>
      </c>
      <c r="H23" s="39">
        <f>F23*0.03137</f>
        <v>33.879600000000003</v>
      </c>
      <c r="I23" s="40">
        <f>H23*B23</f>
        <v>0</v>
      </c>
      <c r="J23" s="39">
        <f>F23*0.0274</f>
        <v>29.592000000000002</v>
      </c>
      <c r="K23" s="40">
        <f>J23*B23</f>
        <v>0</v>
      </c>
      <c r="L23" s="39">
        <f>F23*0.0228</f>
        <v>24.624000000000002</v>
      </c>
      <c r="M23" s="39">
        <f>L23*B23</f>
        <v>0</v>
      </c>
      <c r="N23" s="39">
        <f>F23*0.0204</f>
        <v>22.032</v>
      </c>
      <c r="O23" s="39">
        <f>N23*B23</f>
        <v>0</v>
      </c>
      <c r="P23" s="39">
        <f>F23*0.0185</f>
        <v>19.98</v>
      </c>
      <c r="Q23" s="39">
        <f>P23*B23</f>
        <v>0</v>
      </c>
      <c r="R23" s="528"/>
    </row>
    <row r="24" spans="1:18" s="291" customFormat="1" ht="13.5" thickBot="1">
      <c r="A24" s="1172"/>
      <c r="B24" s="416"/>
      <c r="C24" s="938" t="s">
        <v>839</v>
      </c>
      <c r="D24" s="865" t="s">
        <v>4065</v>
      </c>
      <c r="E24" s="866">
        <v>727</v>
      </c>
      <c r="F24" s="594">
        <f>E24*(1-20%)</f>
        <v>581.6</v>
      </c>
      <c r="G24" s="41">
        <f>F24*B24</f>
        <v>0</v>
      </c>
      <c r="H24" s="39">
        <f>F24*0.03137</f>
        <v>18.244792</v>
      </c>
      <c r="I24" s="40">
        <f>H24*B24</f>
        <v>0</v>
      </c>
      <c r="J24" s="39">
        <f>F24*0.0274</f>
        <v>15.935840000000001</v>
      </c>
      <c r="K24" s="40">
        <f>J24*B24</f>
        <v>0</v>
      </c>
      <c r="L24" s="39">
        <f>F24*0.0228</f>
        <v>13.260480000000001</v>
      </c>
      <c r="M24" s="39">
        <f>L24*B24</f>
        <v>0</v>
      </c>
      <c r="N24" s="39">
        <f>F24*0.0204</f>
        <v>11.864640000000001</v>
      </c>
      <c r="O24" s="39">
        <f>N24*B24</f>
        <v>0</v>
      </c>
      <c r="P24" s="39">
        <f>F24*0.0185</f>
        <v>10.759600000000001</v>
      </c>
      <c r="Q24" s="39">
        <f>P24*B24</f>
        <v>0</v>
      </c>
      <c r="R24" s="528"/>
    </row>
    <row r="25" spans="1:18" s="291" customFormat="1" ht="13.5" thickBot="1">
      <c r="A25" s="1172"/>
      <c r="B25" s="416"/>
      <c r="C25" s="864" t="s">
        <v>853</v>
      </c>
      <c r="D25" s="865" t="s">
        <v>854</v>
      </c>
      <c r="E25" s="866">
        <v>2700</v>
      </c>
      <c r="F25" s="594">
        <f>E25*(1-20%)</f>
        <v>2160</v>
      </c>
      <c r="G25" s="41">
        <f>F25*B25</f>
        <v>0</v>
      </c>
      <c r="H25" s="39">
        <f>F25*0.03137</f>
        <v>67.759200000000007</v>
      </c>
      <c r="I25" s="40">
        <f>H25*B25</f>
        <v>0</v>
      </c>
      <c r="J25" s="39">
        <f>F25*0.0274</f>
        <v>59.184000000000005</v>
      </c>
      <c r="K25" s="40">
        <f>J25*B25</f>
        <v>0</v>
      </c>
      <c r="L25" s="39">
        <f>F25*0.0228</f>
        <v>49.248000000000005</v>
      </c>
      <c r="M25" s="39">
        <f>L25*B25</f>
        <v>0</v>
      </c>
      <c r="N25" s="39">
        <f>F25*0.0204</f>
        <v>44.064</v>
      </c>
      <c r="O25" s="39">
        <f>N25*B25</f>
        <v>0</v>
      </c>
      <c r="P25" s="39">
        <f>F25*0.0185</f>
        <v>39.96</v>
      </c>
      <c r="Q25" s="39">
        <f>P25*B25</f>
        <v>0</v>
      </c>
      <c r="R25" s="528"/>
    </row>
    <row r="26" spans="1:18" s="291" customFormat="1" ht="15">
      <c r="A26" s="519"/>
      <c r="B26" s="258"/>
      <c r="C26" s="258"/>
      <c r="D26" s="1008" t="s">
        <v>65</v>
      </c>
      <c r="E26" s="1088"/>
      <c r="F26" s="1261"/>
      <c r="G26" s="520">
        <f>SUM(G21:G25)+G19</f>
        <v>0</v>
      </c>
      <c r="H26" s="867" t="s">
        <v>67</v>
      </c>
      <c r="I26" s="520">
        <f>SUM(I21:I25)+I19</f>
        <v>0</v>
      </c>
      <c r="J26" s="867" t="s">
        <v>68</v>
      </c>
      <c r="K26" s="520">
        <f>SUM(K21:K25)+K19</f>
        <v>0</v>
      </c>
      <c r="L26" s="867" t="s">
        <v>69</v>
      </c>
      <c r="M26" s="520">
        <f>SUM(M21:M25)+M19</f>
        <v>0</v>
      </c>
      <c r="N26" s="867" t="s">
        <v>860</v>
      </c>
      <c r="O26" s="520">
        <f>SUM(O21:O25)+O19</f>
        <v>0</v>
      </c>
      <c r="P26" s="867" t="s">
        <v>861</v>
      </c>
      <c r="Q26" s="520">
        <f>SUM(Q21:Q25)+Q19</f>
        <v>0</v>
      </c>
    </row>
    <row r="27" spans="1:18" s="291" customFormat="1">
      <c r="A27" s="315"/>
      <c r="B27" s="256"/>
      <c r="C27" s="256"/>
      <c r="D27" s="315"/>
      <c r="E27" s="315"/>
      <c r="F27" s="868"/>
      <c r="G27" s="868"/>
      <c r="H27" s="869"/>
      <c r="I27" s="869"/>
      <c r="J27" s="869"/>
      <c r="K27" s="869"/>
      <c r="L27" s="869"/>
      <c r="M27" s="869"/>
      <c r="N27" s="869"/>
      <c r="O27" s="869"/>
      <c r="P27" s="869"/>
      <c r="Q27" s="869"/>
    </row>
    <row r="28" spans="1:18" s="291" customFormat="1" ht="15.75">
      <c r="A28" s="256"/>
      <c r="B28" s="521"/>
      <c r="C28" s="521"/>
      <c r="D28" s="522"/>
      <c r="E28" s="522"/>
      <c r="F28" s="870"/>
      <c r="G28" s="831"/>
      <c r="H28" s="271"/>
      <c r="I28" s="271"/>
      <c r="J28" s="271"/>
      <c r="K28" s="271"/>
      <c r="L28" s="271"/>
      <c r="M28" s="271"/>
      <c r="N28" s="271"/>
      <c r="O28" s="271"/>
      <c r="P28" s="271"/>
      <c r="Q28" s="271"/>
    </row>
    <row r="29" spans="1:18" s="519" customFormat="1">
      <c r="A29" s="256"/>
      <c r="B29" s="256"/>
      <c r="C29" s="256"/>
      <c r="D29" s="256"/>
      <c r="E29" s="256"/>
      <c r="F29" s="870"/>
      <c r="G29" s="831"/>
      <c r="H29" s="271"/>
      <c r="I29" s="271"/>
      <c r="J29" s="271"/>
      <c r="K29" s="271"/>
      <c r="L29" s="271"/>
      <c r="M29" s="271"/>
      <c r="N29" s="271"/>
      <c r="O29" s="271"/>
      <c r="P29" s="271"/>
      <c r="Q29" s="271"/>
    </row>
    <row r="30" spans="1:18" s="519" customFormat="1">
      <c r="A30" s="256"/>
      <c r="B30" s="256"/>
      <c r="C30" s="256"/>
      <c r="D30" s="256"/>
      <c r="E30" s="256"/>
      <c r="F30" s="831"/>
      <c r="G30" s="831"/>
      <c r="H30" s="271"/>
      <c r="I30" s="271"/>
      <c r="J30" s="271"/>
      <c r="K30" s="271"/>
      <c r="L30" s="271"/>
      <c r="M30" s="271"/>
      <c r="N30" s="271"/>
      <c r="O30" s="271"/>
      <c r="P30" s="271"/>
      <c r="Q30" s="271"/>
    </row>
    <row r="31" spans="1:18" s="524" customFormat="1" hidden="1">
      <c r="A31" s="256"/>
      <c r="B31" s="256"/>
      <c r="C31" s="256"/>
      <c r="D31" s="256"/>
      <c r="E31" s="256"/>
      <c r="F31" s="831"/>
      <c r="G31" s="831"/>
      <c r="H31" s="271"/>
      <c r="I31" s="271"/>
      <c r="J31" s="271"/>
      <c r="K31" s="271"/>
      <c r="L31" s="271"/>
      <c r="M31" s="271"/>
      <c r="N31" s="271"/>
      <c r="O31" s="271"/>
      <c r="P31" s="271"/>
      <c r="Q31" s="271"/>
    </row>
    <row r="32" spans="1:18" s="519" customFormat="1">
      <c r="A32" s="256"/>
      <c r="B32" s="256"/>
      <c r="C32" s="256"/>
      <c r="D32" s="256"/>
      <c r="E32" s="256"/>
      <c r="F32" s="333"/>
      <c r="G32" s="831"/>
      <c r="H32" s="256"/>
      <c r="I32" s="271"/>
      <c r="J32" s="256"/>
      <c r="K32" s="271"/>
      <c r="L32" s="256"/>
      <c r="M32" s="271"/>
      <c r="N32" s="256"/>
      <c r="O32" s="271"/>
      <c r="P32" s="256"/>
      <c r="Q32" s="271"/>
    </row>
    <row r="33" spans="1:17" s="315" customFormat="1">
      <c r="A33" s="256"/>
      <c r="B33" s="256"/>
      <c r="C33" s="256"/>
      <c r="D33" s="256"/>
      <c r="E33" s="256"/>
      <c r="F33" s="333"/>
      <c r="G33" s="333"/>
      <c r="H33" s="256"/>
      <c r="I33" s="256"/>
      <c r="J33" s="256"/>
      <c r="K33" s="256"/>
      <c r="L33" s="256"/>
      <c r="M33" s="256"/>
      <c r="N33" s="256"/>
      <c r="O33" s="256"/>
      <c r="P33" s="256"/>
      <c r="Q33" s="256"/>
    </row>
    <row r="37" spans="1:17">
      <c r="L37" s="859">
        <f>F37*0.0256</f>
        <v>0</v>
      </c>
    </row>
    <row r="46" spans="1:17">
      <c r="B46" s="258"/>
      <c r="C46" s="258"/>
    </row>
  </sheetData>
  <mergeCells count="13">
    <mergeCell ref="D26:F26"/>
    <mergeCell ref="A4:O4"/>
    <mergeCell ref="A5:O5"/>
    <mergeCell ref="H8:J8"/>
    <mergeCell ref="A12:Q12"/>
    <mergeCell ref="A13:Q13"/>
    <mergeCell ref="A14:H14"/>
    <mergeCell ref="I14:Q14"/>
    <mergeCell ref="A15:Q15"/>
    <mergeCell ref="F17:G17"/>
    <mergeCell ref="H17:Q17"/>
    <mergeCell ref="A20:Q20"/>
    <mergeCell ref="A21:A25"/>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E930-D952-4B10-A2CB-D887E9C7863E}">
  <sheetPr>
    <tabColor indexed="62"/>
  </sheetPr>
  <dimension ref="A1:P95"/>
  <sheetViews>
    <sheetView showOutlineSymbols="0" topLeftCell="B25" zoomScale="87" zoomScaleNormal="87" workbookViewId="0">
      <selection activeCell="D52" sqref="D52"/>
    </sheetView>
  </sheetViews>
  <sheetFormatPr defaultColWidth="8.85546875" defaultRowHeight="12.75" outlineLevelRow="2"/>
  <cols>
    <col min="1" max="1" width="14.7109375" style="256" customWidth="1"/>
    <col min="2" max="2" width="8.7109375" style="256" customWidth="1"/>
    <col min="3" max="3" width="22" style="256" customWidth="1"/>
    <col min="4" max="4" width="50" style="256" customWidth="1"/>
    <col min="5" max="5" width="15.7109375" style="256" customWidth="1"/>
    <col min="6" max="6" width="19.42578125" style="333" customWidth="1"/>
    <col min="7" max="7" width="13.85546875" style="333" customWidth="1"/>
    <col min="8" max="8" width="19.7109375" style="256" customWidth="1"/>
    <col min="9" max="9" width="18" style="256" customWidth="1"/>
    <col min="10" max="10" width="20.140625" style="256" customWidth="1"/>
    <col min="11" max="11" width="22.28515625" style="256" customWidth="1"/>
    <col min="12" max="12" width="20.28515625" style="256" customWidth="1"/>
    <col min="13" max="13" width="23.42578125" style="256" customWidth="1"/>
    <col min="14" max="14" width="20.5703125" style="256" customWidth="1"/>
    <col min="15" max="15" width="23.42578125" style="256" customWidth="1"/>
    <col min="16" max="16" width="11.5703125" style="256" customWidth="1"/>
    <col min="17" max="16384" width="8.85546875" style="256"/>
  </cols>
  <sheetData>
    <row r="1" spans="1:15" ht="13.5" thickBot="1">
      <c r="B1" s="257"/>
      <c r="C1" s="257"/>
      <c r="D1" s="258"/>
      <c r="E1" s="258"/>
      <c r="F1" s="259"/>
      <c r="G1" s="259"/>
      <c r="H1" s="259"/>
      <c r="I1" s="259"/>
      <c r="J1" s="259"/>
      <c r="K1" s="259"/>
      <c r="L1" s="259"/>
    </row>
    <row r="2" spans="1:15" ht="9" customHeight="1">
      <c r="A2" s="260"/>
      <c r="B2" s="261"/>
      <c r="C2" s="261"/>
      <c r="D2" s="262"/>
      <c r="E2" s="262"/>
      <c r="F2" s="263"/>
      <c r="G2" s="263"/>
      <c r="H2" s="263"/>
      <c r="I2" s="264"/>
      <c r="J2" s="264"/>
      <c r="K2" s="264"/>
      <c r="L2" s="264"/>
      <c r="M2" s="260"/>
      <c r="N2" s="260"/>
      <c r="O2" s="260"/>
    </row>
    <row r="3" spans="1:15" ht="10.5" customHeight="1">
      <c r="B3" s="257"/>
      <c r="C3" s="257"/>
      <c r="D3" s="258"/>
      <c r="E3" s="258"/>
      <c r="F3" s="259"/>
      <c r="G3" s="259"/>
      <c r="H3" s="259"/>
      <c r="I3" s="265"/>
      <c r="J3" s="265"/>
      <c r="K3" s="265"/>
      <c r="L3" s="265"/>
    </row>
    <row r="4" spans="1:15" ht="30">
      <c r="A4" s="1043" t="s">
        <v>157</v>
      </c>
      <c r="B4" s="1020"/>
      <c r="C4" s="1020"/>
      <c r="D4" s="1020"/>
      <c r="E4" s="1020"/>
      <c r="F4" s="1020"/>
      <c r="G4" s="1020"/>
      <c r="H4" s="1020"/>
      <c r="I4" s="1020"/>
      <c r="J4" s="1020"/>
      <c r="K4" s="1020"/>
      <c r="L4" s="1020"/>
      <c r="M4" s="1020"/>
      <c r="N4" s="1020"/>
      <c r="O4" s="1020"/>
    </row>
    <row r="5" spans="1:15" s="266" customFormat="1" ht="60.75" customHeight="1">
      <c r="A5" s="1044" t="s">
        <v>158</v>
      </c>
      <c r="B5" s="1045"/>
      <c r="C5" s="1045"/>
      <c r="D5" s="1045"/>
      <c r="E5" s="1045"/>
      <c r="F5" s="1045"/>
      <c r="G5" s="1045"/>
      <c r="H5" s="1045"/>
      <c r="I5" s="1045"/>
      <c r="J5" s="1045"/>
      <c r="K5" s="1045"/>
      <c r="L5" s="1045"/>
      <c r="M5" s="1045"/>
      <c r="N5" s="1045"/>
      <c r="O5" s="1045"/>
    </row>
    <row r="6" spans="1:15" ht="9" customHeight="1" thickBot="1">
      <c r="A6" s="267"/>
      <c r="B6" s="553"/>
      <c r="C6" s="553"/>
      <c r="D6" s="554"/>
      <c r="E6" s="554"/>
      <c r="F6" s="555"/>
      <c r="G6" s="555"/>
      <c r="H6" s="555"/>
      <c r="I6" s="506"/>
      <c r="J6" s="506"/>
      <c r="K6" s="506"/>
      <c r="L6" s="506"/>
      <c r="M6" s="267"/>
      <c r="N6" s="267"/>
      <c r="O6" s="267"/>
    </row>
    <row r="9" spans="1:15" s="265" customFormat="1" ht="14.25">
      <c r="B9" s="268"/>
      <c r="C9" s="268"/>
      <c r="D9" s="269"/>
      <c r="E9" s="269"/>
      <c r="F9" s="269"/>
      <c r="G9" s="269"/>
      <c r="H9" s="269"/>
      <c r="I9" s="269"/>
      <c r="J9" s="269"/>
      <c r="K9" s="269"/>
      <c r="L9" s="269"/>
      <c r="M9" s="269"/>
      <c r="N9" s="269"/>
      <c r="O9" s="269"/>
    </row>
    <row r="10" spans="1:15" s="265" customFormat="1" ht="14.25">
      <c r="F10" s="446"/>
      <c r="G10" s="1046" t="s">
        <v>0</v>
      </c>
      <c r="H10" s="1046"/>
      <c r="I10" s="1046"/>
      <c r="J10" s="1046"/>
      <c r="K10" s="507"/>
    </row>
    <row r="11" spans="1:15" s="265" customFormat="1" ht="14.25">
      <c r="H11" s="275" t="s">
        <v>1</v>
      </c>
      <c r="I11" s="265" t="s">
        <v>83</v>
      </c>
    </row>
    <row r="12" spans="1:15" s="265" customFormat="1">
      <c r="H12" s="270" t="s">
        <v>3</v>
      </c>
      <c r="I12" s="282" t="s">
        <v>84</v>
      </c>
      <c r="J12" s="282"/>
      <c r="L12" s="282"/>
    </row>
    <row r="13" spans="1:15" s="265" customFormat="1">
      <c r="F13" s="446"/>
      <c r="G13" s="446"/>
      <c r="H13" s="276" t="s">
        <v>5</v>
      </c>
      <c r="I13" s="548" t="s">
        <v>6</v>
      </c>
      <c r="J13" s="548"/>
      <c r="L13" s="548"/>
    </row>
    <row r="14" spans="1:15" s="265" customFormat="1">
      <c r="F14" s="446"/>
      <c r="G14" s="446"/>
      <c r="H14" s="270" t="s">
        <v>7</v>
      </c>
      <c r="I14" s="556">
        <v>120000</v>
      </c>
      <c r="J14" s="556"/>
      <c r="L14" s="556"/>
    </row>
    <row r="15" spans="1:15" s="265" customFormat="1">
      <c r="F15" s="446"/>
      <c r="G15" s="446"/>
      <c r="H15" s="270" t="s">
        <v>8</v>
      </c>
      <c r="I15" s="265" t="s">
        <v>159</v>
      </c>
    </row>
    <row r="16" spans="1:15" s="265" customFormat="1">
      <c r="F16" s="446"/>
      <c r="G16" s="446"/>
      <c r="H16" s="270" t="s">
        <v>10</v>
      </c>
      <c r="I16" s="265" t="s">
        <v>85</v>
      </c>
    </row>
    <row r="17" spans="1:15" s="265" customFormat="1">
      <c r="B17" s="508"/>
      <c r="C17" s="508"/>
      <c r="F17" s="302"/>
      <c r="G17" s="302"/>
      <c r="H17" s="270" t="s">
        <v>12</v>
      </c>
      <c r="I17" s="265" t="s">
        <v>160</v>
      </c>
    </row>
    <row r="18" spans="1:15" s="265" customFormat="1">
      <c r="H18" s="270" t="s">
        <v>14</v>
      </c>
      <c r="I18" s="265" t="s">
        <v>15</v>
      </c>
    </row>
    <row r="19" spans="1:15" s="265" customFormat="1">
      <c r="F19" s="446"/>
      <c r="G19" s="446"/>
      <c r="H19" s="258" t="s">
        <v>87</v>
      </c>
      <c r="I19" s="265" t="s">
        <v>88</v>
      </c>
    </row>
    <row r="20" spans="1:15" s="265" customFormat="1">
      <c r="F20" s="446"/>
      <c r="G20" s="446"/>
      <c r="H20" s="270" t="s">
        <v>16</v>
      </c>
      <c r="I20" s="265" t="s">
        <v>89</v>
      </c>
    </row>
    <row r="21" spans="1:15" s="265" customFormat="1">
      <c r="F21" s="446"/>
      <c r="G21" s="446"/>
      <c r="H21" s="270" t="s">
        <v>18</v>
      </c>
      <c r="I21" s="265" t="s">
        <v>19</v>
      </c>
    </row>
    <row r="22" spans="1:15" s="265" customFormat="1">
      <c r="F22" s="446"/>
      <c r="G22" s="446"/>
      <c r="H22" s="270" t="s">
        <v>20</v>
      </c>
      <c r="I22" s="282" t="s">
        <v>90</v>
      </c>
      <c r="J22" s="282"/>
      <c r="L22" s="282"/>
    </row>
    <row r="23" spans="1:15" s="265" customFormat="1" ht="15.75" customHeight="1">
      <c r="D23" s="1047"/>
      <c r="E23" s="277"/>
      <c r="F23" s="283"/>
      <c r="G23" s="283"/>
      <c r="H23" s="270" t="s">
        <v>22</v>
      </c>
      <c r="I23" s="265" t="s">
        <v>91</v>
      </c>
    </row>
    <row r="24" spans="1:15" s="265" customFormat="1" ht="12.75" customHeight="1">
      <c r="D24" s="1047"/>
      <c r="E24" s="277"/>
      <c r="F24" s="283"/>
      <c r="G24" s="283"/>
      <c r="H24" s="270" t="s">
        <v>24</v>
      </c>
      <c r="I24" s="265" t="s">
        <v>161</v>
      </c>
    </row>
    <row r="25" spans="1:15" s="265" customFormat="1" ht="12.75" customHeight="1">
      <c r="D25" s="277"/>
      <c r="E25" s="277"/>
      <c r="F25" s="283"/>
      <c r="G25" s="283"/>
      <c r="H25" s="270" t="s">
        <v>26</v>
      </c>
      <c r="I25" s="265" t="s">
        <v>93</v>
      </c>
    </row>
    <row r="26" spans="1:15" s="265" customFormat="1" ht="12.75" customHeight="1">
      <c r="D26" s="277"/>
      <c r="E26" s="277"/>
      <c r="F26" s="283"/>
      <c r="G26" s="283"/>
      <c r="H26" s="270" t="s">
        <v>28</v>
      </c>
      <c r="I26" s="265" t="s">
        <v>94</v>
      </c>
    </row>
    <row r="27" spans="1:15" s="265" customFormat="1" ht="14.25">
      <c r="A27" s="1048" t="s">
        <v>95</v>
      </c>
      <c r="B27" s="1020"/>
      <c r="C27" s="1020"/>
      <c r="D27" s="1020"/>
      <c r="E27" s="1020"/>
      <c r="F27" s="1020"/>
      <c r="G27" s="1020"/>
      <c r="H27" s="1020"/>
      <c r="I27" s="1020"/>
      <c r="J27" s="1020"/>
      <c r="K27" s="1020"/>
      <c r="L27" s="1020"/>
      <c r="M27" s="1020"/>
      <c r="N27" s="1020"/>
      <c r="O27" s="1030"/>
    </row>
    <row r="28" spans="1:15" s="265" customFormat="1" ht="14.25">
      <c r="A28" s="1037" t="s">
        <v>162</v>
      </c>
      <c r="B28" s="1020"/>
      <c r="C28" s="1020"/>
      <c r="D28" s="1020"/>
      <c r="E28" s="1020"/>
      <c r="F28" s="1020"/>
      <c r="G28" s="1020"/>
      <c r="H28" s="1030"/>
      <c r="I28" s="1040" t="s">
        <v>163</v>
      </c>
      <c r="J28" s="1041"/>
      <c r="K28" s="1041"/>
      <c r="L28" s="1041"/>
      <c r="M28" s="1041"/>
      <c r="N28" s="1041"/>
      <c r="O28" s="1042"/>
    </row>
    <row r="29" spans="1:15" s="265" customFormat="1" ht="12.75" customHeight="1">
      <c r="A29" s="1028" t="s">
        <v>33</v>
      </c>
      <c r="B29" s="1020"/>
      <c r="C29" s="1020"/>
      <c r="D29" s="1020"/>
      <c r="E29" s="1020" t="s">
        <v>34</v>
      </c>
      <c r="F29" s="1020"/>
      <c r="G29" s="1020"/>
      <c r="H29" s="551"/>
      <c r="I29" s="1028" t="s">
        <v>33</v>
      </c>
      <c r="J29" s="1020"/>
      <c r="K29" s="1020"/>
      <c r="L29" s="1020"/>
      <c r="M29" s="1020" t="s">
        <v>35</v>
      </c>
      <c r="N29" s="1020"/>
      <c r="O29" s="1030"/>
    </row>
    <row r="30" spans="1:15" s="265" customFormat="1" ht="12.75" customHeight="1">
      <c r="A30" s="1028" t="s">
        <v>36</v>
      </c>
      <c r="B30" s="1020"/>
      <c r="C30" s="1020"/>
      <c r="D30" s="1020"/>
      <c r="E30" s="1035">
        <v>0</v>
      </c>
      <c r="F30" s="1035"/>
      <c r="G30" s="1035"/>
      <c r="H30" s="551"/>
      <c r="I30" s="1028" t="s">
        <v>36</v>
      </c>
      <c r="J30" s="1020"/>
      <c r="K30" s="1020"/>
      <c r="L30" s="1020"/>
      <c r="M30" s="1035">
        <v>520</v>
      </c>
      <c r="N30" s="1035"/>
      <c r="O30" s="1036"/>
    </row>
    <row r="31" spans="1:15" s="265" customFormat="1" ht="12.75" customHeight="1">
      <c r="A31" s="1028" t="s">
        <v>37</v>
      </c>
      <c r="B31" s="1020"/>
      <c r="C31" s="1020"/>
      <c r="D31" s="1020"/>
      <c r="E31" s="1020" t="s">
        <v>38</v>
      </c>
      <c r="F31" s="1020"/>
      <c r="G31" s="1020"/>
      <c r="H31" s="551"/>
      <c r="I31" s="1028" t="s">
        <v>37</v>
      </c>
      <c r="J31" s="1020"/>
      <c r="K31" s="1020"/>
      <c r="L31" s="1020"/>
      <c r="M31" s="1020" t="s">
        <v>164</v>
      </c>
      <c r="N31" s="1020"/>
      <c r="O31" s="1030"/>
    </row>
    <row r="32" spans="1:15" s="265" customFormat="1" ht="12.75" customHeight="1" thickBot="1">
      <c r="A32" s="1031" t="s">
        <v>40</v>
      </c>
      <c r="B32" s="1033"/>
      <c r="C32" s="1033"/>
      <c r="D32" s="1033"/>
      <c r="E32" s="1033" t="s">
        <v>165</v>
      </c>
      <c r="F32" s="1033"/>
      <c r="G32" s="1033"/>
      <c r="H32" s="543"/>
      <c r="I32" s="1031" t="s">
        <v>40</v>
      </c>
      <c r="J32" s="1033"/>
      <c r="K32" s="1033"/>
      <c r="L32" s="1033"/>
      <c r="M32" s="1033" t="s">
        <v>165</v>
      </c>
      <c r="N32" s="1033"/>
      <c r="O32" s="1034"/>
    </row>
    <row r="33" spans="1:16" s="265" customFormat="1" ht="12.75" customHeight="1">
      <c r="B33" s="282"/>
      <c r="C33" s="282"/>
      <c r="D33" s="277"/>
      <c r="E33" s="277"/>
      <c r="F33" s="283"/>
      <c r="G33" s="283"/>
      <c r="H33" s="283"/>
      <c r="J33" s="558"/>
      <c r="K33" s="558"/>
      <c r="L33" s="558"/>
    </row>
    <row r="34" spans="1:16" s="265" customFormat="1" ht="12.75" customHeight="1">
      <c r="D34" s="277"/>
      <c r="E34" s="277"/>
      <c r="F34" s="1019"/>
      <c r="G34" s="1020"/>
      <c r="H34" s="1020"/>
      <c r="I34" s="1020"/>
      <c r="J34" s="1020"/>
      <c r="K34" s="558"/>
      <c r="L34" s="558"/>
      <c r="M34" s="270"/>
    </row>
    <row r="35" spans="1:16" s="265" customFormat="1" ht="12.75" customHeight="1">
      <c r="D35" s="277"/>
      <c r="E35" s="277"/>
      <c r="F35" s="1019"/>
      <c r="G35" s="1020"/>
      <c r="H35" s="1020"/>
      <c r="I35" s="1020"/>
      <c r="J35" s="1020"/>
      <c r="K35" s="558"/>
      <c r="L35" s="558"/>
      <c r="M35" s="270"/>
    </row>
    <row r="36" spans="1:16" s="265" customFormat="1" ht="12.75" customHeight="1" thickBot="1">
      <c r="D36" s="277"/>
      <c r="E36" s="277"/>
      <c r="F36" s="283"/>
      <c r="G36" s="283"/>
      <c r="J36" s="288"/>
      <c r="K36" s="288"/>
      <c r="L36" s="288"/>
    </row>
    <row r="37" spans="1:16" s="265" customFormat="1" ht="15.75" customHeight="1" thickBot="1">
      <c r="F37" s="1021" t="s">
        <v>43</v>
      </c>
      <c r="G37" s="1022"/>
      <c r="H37" s="1023" t="s">
        <v>44</v>
      </c>
      <c r="I37" s="1024"/>
      <c r="J37" s="1024"/>
      <c r="K37" s="1003"/>
      <c r="L37" s="1003"/>
      <c r="M37" s="1003"/>
      <c r="N37" s="1003"/>
      <c r="O37" s="1025"/>
    </row>
    <row r="38" spans="1:16" s="291" customFormat="1" ht="50.25" customHeight="1" thickBot="1">
      <c r="A38" s="289" t="s">
        <v>45</v>
      </c>
      <c r="B38" s="289" t="s">
        <v>46</v>
      </c>
      <c r="C38" s="290" t="s">
        <v>47</v>
      </c>
      <c r="D38" s="290" t="s">
        <v>48</v>
      </c>
      <c r="E38" s="290" t="s">
        <v>49</v>
      </c>
      <c r="F38" s="290" t="s">
        <v>50</v>
      </c>
      <c r="G38" s="289" t="s">
        <v>51</v>
      </c>
      <c r="H38" s="290" t="s">
        <v>52</v>
      </c>
      <c r="I38" s="289" t="s">
        <v>51</v>
      </c>
      <c r="J38" s="290" t="s">
        <v>53</v>
      </c>
      <c r="K38" s="289" t="s">
        <v>51</v>
      </c>
      <c r="L38" s="290" t="s">
        <v>54</v>
      </c>
      <c r="M38" s="289" t="s">
        <v>51</v>
      </c>
      <c r="N38" s="290" t="s">
        <v>55</v>
      </c>
      <c r="O38" s="289" t="s">
        <v>51</v>
      </c>
    </row>
    <row r="39" spans="1:16" s="557" customFormat="1" ht="39" thickBot="1">
      <c r="A39" s="1014">
        <v>9</v>
      </c>
      <c r="B39" s="1014"/>
      <c r="C39" s="550" t="s">
        <v>166</v>
      </c>
      <c r="D39" s="559" t="s">
        <v>167</v>
      </c>
      <c r="E39" s="560">
        <v>4758</v>
      </c>
      <c r="F39" s="540">
        <f>SUM(E39:E41)*(1-49%)</f>
        <v>2656.08</v>
      </c>
      <c r="G39" s="1026">
        <f>F39*B39</f>
        <v>0</v>
      </c>
      <c r="H39" s="1026">
        <f>F39*0.0845</f>
        <v>224.43876</v>
      </c>
      <c r="I39" s="1026">
        <f>H39*B39</f>
        <v>0</v>
      </c>
      <c r="J39" s="1026">
        <f>F39*0.032</f>
        <v>84.994559999999993</v>
      </c>
      <c r="K39" s="1026">
        <f>J39*B39</f>
        <v>0</v>
      </c>
      <c r="L39" s="1026">
        <f>F39*0.0263</f>
        <v>69.854904000000005</v>
      </c>
      <c r="M39" s="1026">
        <f>L39*B39</f>
        <v>0</v>
      </c>
      <c r="N39" s="1026">
        <f>F39*0.0219</f>
        <v>58.168151999999999</v>
      </c>
      <c r="O39" s="1026">
        <f>N39*B39</f>
        <v>0</v>
      </c>
      <c r="P39" s="561"/>
    </row>
    <row r="40" spans="1:16" s="291" customFormat="1" ht="13.5" thickBot="1">
      <c r="A40" s="1015"/>
      <c r="B40" s="1015"/>
      <c r="C40" s="297">
        <v>135900</v>
      </c>
      <c r="D40" s="562" t="s">
        <v>101</v>
      </c>
      <c r="E40" s="491">
        <v>375</v>
      </c>
      <c r="F40" s="31" t="s">
        <v>35</v>
      </c>
      <c r="G40" s="1012"/>
      <c r="H40" s="1012"/>
      <c r="I40" s="1012"/>
      <c r="J40" s="1012"/>
      <c r="K40" s="1012"/>
      <c r="L40" s="1012"/>
      <c r="M40" s="1012"/>
      <c r="N40" s="1012"/>
      <c r="O40" s="1012"/>
    </row>
    <row r="41" spans="1:16" s="291" customFormat="1" ht="13.5" thickBot="1">
      <c r="A41" s="1016"/>
      <c r="B41" s="1017"/>
      <c r="C41" s="297" t="s">
        <v>56</v>
      </c>
      <c r="D41" s="562" t="s">
        <v>57</v>
      </c>
      <c r="E41" s="491">
        <v>75</v>
      </c>
      <c r="F41" s="300" t="s">
        <v>35</v>
      </c>
      <c r="G41" s="1013"/>
      <c r="H41" s="1027"/>
      <c r="I41" s="1013"/>
      <c r="J41" s="1027"/>
      <c r="K41" s="1013"/>
      <c r="L41" s="1027"/>
      <c r="M41" s="1013"/>
      <c r="N41" s="1027"/>
      <c r="O41" s="1013"/>
    </row>
    <row r="42" spans="1:16" s="519" customFormat="1" ht="13.5" thickBot="1">
      <c r="A42" s="563"/>
      <c r="B42" s="308"/>
      <c r="C42" s="545"/>
      <c r="D42" s="537"/>
      <c r="E42" s="564"/>
      <c r="F42" s="312"/>
      <c r="G42" s="308"/>
      <c r="H42" s="314"/>
      <c r="I42" s="308"/>
      <c r="J42" s="314"/>
      <c r="K42" s="313"/>
      <c r="L42" s="314"/>
      <c r="M42" s="308"/>
      <c r="N42" s="314"/>
      <c r="O42" s="313"/>
    </row>
    <row r="43" spans="1:16" s="557" customFormat="1" ht="39" thickBot="1">
      <c r="A43" s="1014" t="s">
        <v>168</v>
      </c>
      <c r="B43" s="1014"/>
      <c r="C43" s="550" t="s">
        <v>166</v>
      </c>
      <c r="D43" s="559" t="s">
        <v>167</v>
      </c>
      <c r="E43" s="560">
        <v>4758</v>
      </c>
      <c r="F43" s="536">
        <f>SUM(E43:E45)*(1-49%)</f>
        <v>2656.08</v>
      </c>
      <c r="G43" s="1011">
        <f>F43*B43</f>
        <v>0</v>
      </c>
      <c r="H43" s="1011">
        <f>F43*0.0845+M30/12</f>
        <v>267.77209333333332</v>
      </c>
      <c r="I43" s="1011">
        <f>H43*B43</f>
        <v>0</v>
      </c>
      <c r="J43" s="1011">
        <f>F43*0.032+M30/12</f>
        <v>128.32789333333332</v>
      </c>
      <c r="K43" s="1011">
        <f>J43*B43</f>
        <v>0</v>
      </c>
      <c r="L43" s="1011">
        <f>F43*0.0263+M30/12</f>
        <v>113.18823733333335</v>
      </c>
      <c r="M43" s="1011">
        <f>L43*B43</f>
        <v>0</v>
      </c>
      <c r="N43" s="1011">
        <f>F43*0.0219+M30/12</f>
        <v>101.50148533333333</v>
      </c>
      <c r="O43" s="1011">
        <f>N43*B43</f>
        <v>0</v>
      </c>
      <c r="P43" s="561"/>
    </row>
    <row r="44" spans="1:16" s="291" customFormat="1" ht="13.5" thickBot="1">
      <c r="A44" s="1015"/>
      <c r="B44" s="1015"/>
      <c r="C44" s="297">
        <v>135900</v>
      </c>
      <c r="D44" s="562" t="s">
        <v>101</v>
      </c>
      <c r="E44" s="491">
        <v>375</v>
      </c>
      <c r="F44" s="300" t="s">
        <v>35</v>
      </c>
      <c r="G44" s="1012"/>
      <c r="H44" s="1012"/>
      <c r="I44" s="1012"/>
      <c r="J44" s="1012"/>
      <c r="K44" s="1012"/>
      <c r="L44" s="1012"/>
      <c r="M44" s="1012"/>
      <c r="N44" s="1012"/>
      <c r="O44" s="1012"/>
    </row>
    <row r="45" spans="1:16" s="291" customFormat="1" ht="13.5" thickBot="1">
      <c r="A45" s="1016"/>
      <c r="B45" s="1017"/>
      <c r="C45" s="297" t="s">
        <v>56</v>
      </c>
      <c r="D45" s="562" t="s">
        <v>57</v>
      </c>
      <c r="E45" s="491">
        <v>75</v>
      </c>
      <c r="F45" s="300" t="s">
        <v>35</v>
      </c>
      <c r="G45" s="1018"/>
      <c r="H45" s="1050"/>
      <c r="I45" s="1018"/>
      <c r="J45" s="1013"/>
      <c r="K45" s="1018"/>
      <c r="L45" s="1050"/>
      <c r="M45" s="1018"/>
      <c r="N45" s="1050"/>
      <c r="O45" s="1018"/>
    </row>
    <row r="46" spans="1:16" s="519" customFormat="1" ht="13.5" customHeight="1" thickBot="1">
      <c r="A46" s="1002" t="s">
        <v>59</v>
      </c>
      <c r="B46" s="1003"/>
      <c r="C46" s="1010"/>
      <c r="D46" s="1010"/>
      <c r="E46" s="1003"/>
      <c r="F46" s="1004"/>
      <c r="G46" s="1004"/>
      <c r="H46" s="1004"/>
      <c r="I46" s="1004"/>
      <c r="J46" s="1004"/>
      <c r="K46" s="1004"/>
      <c r="L46" s="1004"/>
      <c r="M46" s="1004"/>
      <c r="N46" s="1004"/>
      <c r="O46" s="1005"/>
    </row>
    <row r="47" spans="1:16" s="291" customFormat="1" ht="13.5" thickBot="1">
      <c r="A47" s="1006"/>
      <c r="B47" s="319"/>
      <c r="C47" s="398" t="s">
        <v>103</v>
      </c>
      <c r="D47" s="731" t="s">
        <v>104</v>
      </c>
      <c r="E47" s="725">
        <v>129.99</v>
      </c>
      <c r="F47" s="322">
        <f>E47*(1-20%)</f>
        <v>103.99200000000002</v>
      </c>
      <c r="G47" s="41">
        <f t="shared" ref="G47:G71" si="0">F47*B47</f>
        <v>0</v>
      </c>
      <c r="H47" s="566">
        <f t="shared" ref="H47:H71" si="1">F47*0.0845</f>
        <v>8.7873240000000017</v>
      </c>
      <c r="I47" s="396">
        <f t="shared" ref="I47:I71" si="2">H47*B47</f>
        <v>0</v>
      </c>
      <c r="J47" s="566">
        <f t="shared" ref="J47:J71" si="3">F47*0.032</f>
        <v>3.3277440000000005</v>
      </c>
      <c r="K47" s="396">
        <f t="shared" ref="K47:K71" si="4">J47*B47</f>
        <v>0</v>
      </c>
      <c r="L47" s="567">
        <f t="shared" ref="L47:L71" si="5">F47*0.0263</f>
        <v>2.7349896000000005</v>
      </c>
      <c r="M47" s="397">
        <f t="shared" ref="M47:M71" si="6">L47*B47</f>
        <v>0</v>
      </c>
      <c r="N47" s="567">
        <f t="shared" ref="N47:N71" si="7">F47*0.0219</f>
        <v>2.2774248000000004</v>
      </c>
      <c r="O47" s="397">
        <f t="shared" ref="O47:O71" si="8">N47*B47</f>
        <v>0</v>
      </c>
      <c r="P47" s="568"/>
    </row>
    <row r="48" spans="1:16" s="291" customFormat="1" ht="13.5" thickBot="1">
      <c r="A48" s="1006"/>
      <c r="B48" s="541"/>
      <c r="C48" s="398" t="s">
        <v>105</v>
      </c>
      <c r="D48" s="731" t="s">
        <v>106</v>
      </c>
      <c r="E48" s="725">
        <v>399</v>
      </c>
      <c r="F48" s="40">
        <f t="shared" ref="F48:F71" si="9">E48*(1-20%)</f>
        <v>319.20000000000005</v>
      </c>
      <c r="G48" s="40">
        <f t="shared" si="0"/>
        <v>0</v>
      </c>
      <c r="H48" s="396">
        <f t="shared" si="1"/>
        <v>26.972400000000004</v>
      </c>
      <c r="I48" s="396">
        <f t="shared" si="2"/>
        <v>0</v>
      </c>
      <c r="J48" s="396">
        <f t="shared" si="3"/>
        <v>10.214400000000001</v>
      </c>
      <c r="K48" s="396">
        <f t="shared" si="4"/>
        <v>0</v>
      </c>
      <c r="L48" s="397">
        <f t="shared" si="5"/>
        <v>8.3949600000000011</v>
      </c>
      <c r="M48" s="397">
        <f t="shared" si="6"/>
        <v>0</v>
      </c>
      <c r="N48" s="397">
        <f t="shared" si="7"/>
        <v>6.9904800000000007</v>
      </c>
      <c r="O48" s="397">
        <f t="shared" si="8"/>
        <v>0</v>
      </c>
      <c r="P48" s="568"/>
    </row>
    <row r="49" spans="1:16" s="291" customFormat="1" ht="13.5" thickBot="1">
      <c r="A49" s="1006"/>
      <c r="B49" s="319"/>
      <c r="C49" s="728" t="s">
        <v>107</v>
      </c>
      <c r="D49" s="732" t="s">
        <v>108</v>
      </c>
      <c r="E49" s="725">
        <v>250</v>
      </c>
      <c r="F49" s="322">
        <f t="shared" si="9"/>
        <v>200</v>
      </c>
      <c r="G49" s="322">
        <f t="shared" si="0"/>
        <v>0</v>
      </c>
      <c r="H49" s="566">
        <f t="shared" si="1"/>
        <v>16.900000000000002</v>
      </c>
      <c r="I49" s="566">
        <f t="shared" si="2"/>
        <v>0</v>
      </c>
      <c r="J49" s="566">
        <f t="shared" si="3"/>
        <v>6.4</v>
      </c>
      <c r="K49" s="566">
        <f t="shared" si="4"/>
        <v>0</v>
      </c>
      <c r="L49" s="567">
        <f t="shared" si="5"/>
        <v>5.26</v>
      </c>
      <c r="M49" s="567">
        <f t="shared" si="6"/>
        <v>0</v>
      </c>
      <c r="N49" s="567">
        <f t="shared" si="7"/>
        <v>4.38</v>
      </c>
      <c r="O49" s="567">
        <f t="shared" si="8"/>
        <v>0</v>
      </c>
      <c r="P49" s="568"/>
    </row>
    <row r="50" spans="1:16" s="291" customFormat="1" ht="13.5" thickBot="1">
      <c r="A50" s="1006"/>
      <c r="B50" s="541"/>
      <c r="C50" s="729" t="s">
        <v>109</v>
      </c>
      <c r="D50" s="733" t="s">
        <v>110</v>
      </c>
      <c r="E50" s="725">
        <v>400</v>
      </c>
      <c r="F50" s="343">
        <f t="shared" si="9"/>
        <v>320</v>
      </c>
      <c r="G50" s="343">
        <f t="shared" si="0"/>
        <v>0</v>
      </c>
      <c r="H50" s="566">
        <f t="shared" si="1"/>
        <v>27.040000000000003</v>
      </c>
      <c r="I50" s="566">
        <f t="shared" si="2"/>
        <v>0</v>
      </c>
      <c r="J50" s="566">
        <f t="shared" si="3"/>
        <v>10.24</v>
      </c>
      <c r="K50" s="566">
        <f t="shared" si="4"/>
        <v>0</v>
      </c>
      <c r="L50" s="567">
        <f t="shared" si="5"/>
        <v>8.4160000000000004</v>
      </c>
      <c r="M50" s="567">
        <f t="shared" si="6"/>
        <v>0</v>
      </c>
      <c r="N50" s="567">
        <f t="shared" si="7"/>
        <v>7.008</v>
      </c>
      <c r="O50" s="567">
        <f t="shared" si="8"/>
        <v>0</v>
      </c>
      <c r="P50" s="568"/>
    </row>
    <row r="51" spans="1:16" s="291" customFormat="1" ht="13.5" thickBot="1">
      <c r="A51" s="1006"/>
      <c r="B51" s="541"/>
      <c r="C51" s="729" t="s">
        <v>111</v>
      </c>
      <c r="D51" s="731" t="s">
        <v>112</v>
      </c>
      <c r="E51" s="725">
        <v>499</v>
      </c>
      <c r="F51" s="343">
        <f t="shared" si="9"/>
        <v>399.20000000000005</v>
      </c>
      <c r="G51" s="343">
        <f t="shared" si="0"/>
        <v>0</v>
      </c>
      <c r="H51" s="566">
        <f t="shared" si="1"/>
        <v>33.732400000000005</v>
      </c>
      <c r="I51" s="566">
        <f t="shared" si="2"/>
        <v>0</v>
      </c>
      <c r="J51" s="566">
        <f t="shared" si="3"/>
        <v>12.774400000000002</v>
      </c>
      <c r="K51" s="566">
        <f t="shared" si="4"/>
        <v>0</v>
      </c>
      <c r="L51" s="567">
        <f t="shared" si="5"/>
        <v>10.498960000000002</v>
      </c>
      <c r="M51" s="567">
        <f t="shared" si="6"/>
        <v>0</v>
      </c>
      <c r="N51" s="567">
        <f t="shared" si="7"/>
        <v>8.7424800000000005</v>
      </c>
      <c r="O51" s="567">
        <f t="shared" si="8"/>
        <v>0</v>
      </c>
      <c r="P51" s="568"/>
    </row>
    <row r="52" spans="1:16" s="291" customFormat="1" ht="13.5" thickBot="1">
      <c r="A52" s="1006"/>
      <c r="B52" s="541"/>
      <c r="C52" s="398" t="s">
        <v>77</v>
      </c>
      <c r="D52" s="731" t="s">
        <v>169</v>
      </c>
      <c r="E52" s="725">
        <v>329</v>
      </c>
      <c r="F52" s="343">
        <f t="shared" si="9"/>
        <v>263.2</v>
      </c>
      <c r="G52" s="343">
        <f>F52*B52</f>
        <v>0</v>
      </c>
      <c r="H52" s="566">
        <f t="shared" si="1"/>
        <v>22.240400000000001</v>
      </c>
      <c r="I52" s="566">
        <f>H52*B52</f>
        <v>0</v>
      </c>
      <c r="J52" s="566">
        <f t="shared" si="3"/>
        <v>8.4223999999999997</v>
      </c>
      <c r="K52" s="566">
        <f>J52*B52</f>
        <v>0</v>
      </c>
      <c r="L52" s="567">
        <f t="shared" si="5"/>
        <v>6.9221599999999999</v>
      </c>
      <c r="M52" s="567">
        <f>L52*B52</f>
        <v>0</v>
      </c>
      <c r="N52" s="567">
        <f t="shared" si="7"/>
        <v>5.7640799999999999</v>
      </c>
      <c r="O52" s="567">
        <f>N52*B52</f>
        <v>0</v>
      </c>
      <c r="P52" s="568"/>
    </row>
    <row r="53" spans="1:16" s="291" customFormat="1" ht="13.5" thickBot="1">
      <c r="A53" s="1006"/>
      <c r="B53" s="541"/>
      <c r="C53" s="730" t="s">
        <v>113</v>
      </c>
      <c r="D53" s="732" t="s">
        <v>114</v>
      </c>
      <c r="E53" s="725">
        <v>220</v>
      </c>
      <c r="F53" s="343">
        <f t="shared" si="9"/>
        <v>176</v>
      </c>
      <c r="G53" s="40">
        <f t="shared" si="0"/>
        <v>0</v>
      </c>
      <c r="H53" s="566">
        <f t="shared" si="1"/>
        <v>14.872000000000002</v>
      </c>
      <c r="I53" s="396">
        <f t="shared" si="2"/>
        <v>0</v>
      </c>
      <c r="J53" s="566">
        <f t="shared" si="3"/>
        <v>5.6319999999999997</v>
      </c>
      <c r="K53" s="396">
        <f t="shared" si="4"/>
        <v>0</v>
      </c>
      <c r="L53" s="567">
        <f t="shared" si="5"/>
        <v>4.6288</v>
      </c>
      <c r="M53" s="397">
        <f t="shared" si="6"/>
        <v>0</v>
      </c>
      <c r="N53" s="567">
        <f t="shared" si="7"/>
        <v>3.8544</v>
      </c>
      <c r="O53" s="397">
        <f t="shared" si="8"/>
        <v>0</v>
      </c>
      <c r="P53" s="568"/>
    </row>
    <row r="54" spans="1:16" s="291" customFormat="1" ht="13.5" thickBot="1">
      <c r="A54" s="1006"/>
      <c r="B54" s="319"/>
      <c r="C54" s="728" t="s">
        <v>115</v>
      </c>
      <c r="D54" s="731" t="s">
        <v>116</v>
      </c>
      <c r="E54" s="725">
        <v>307</v>
      </c>
      <c r="F54" s="322">
        <f t="shared" si="9"/>
        <v>245.60000000000002</v>
      </c>
      <c r="G54" s="322">
        <f t="shared" si="0"/>
        <v>0</v>
      </c>
      <c r="H54" s="566">
        <f t="shared" si="1"/>
        <v>20.753200000000003</v>
      </c>
      <c r="I54" s="566">
        <f t="shared" si="2"/>
        <v>0</v>
      </c>
      <c r="J54" s="566">
        <f t="shared" si="3"/>
        <v>7.8592000000000013</v>
      </c>
      <c r="K54" s="566">
        <f t="shared" si="4"/>
        <v>0</v>
      </c>
      <c r="L54" s="567">
        <f t="shared" si="5"/>
        <v>6.4592800000000006</v>
      </c>
      <c r="M54" s="567">
        <f t="shared" si="6"/>
        <v>0</v>
      </c>
      <c r="N54" s="567">
        <f t="shared" si="7"/>
        <v>5.3786400000000008</v>
      </c>
      <c r="O54" s="567">
        <f t="shared" si="8"/>
        <v>0</v>
      </c>
      <c r="P54" s="568"/>
    </row>
    <row r="55" spans="1:16" s="291" customFormat="1" ht="13.5" thickBot="1">
      <c r="A55" s="1006"/>
      <c r="B55" s="319"/>
      <c r="C55" s="729" t="s">
        <v>117</v>
      </c>
      <c r="D55" s="733" t="s">
        <v>118</v>
      </c>
      <c r="E55" s="725">
        <v>934</v>
      </c>
      <c r="F55" s="41">
        <f t="shared" si="9"/>
        <v>747.2</v>
      </c>
      <c r="G55" s="41">
        <f t="shared" si="0"/>
        <v>0</v>
      </c>
      <c r="H55" s="396">
        <f t="shared" si="1"/>
        <v>63.138400000000011</v>
      </c>
      <c r="I55" s="396">
        <f t="shared" si="2"/>
        <v>0</v>
      </c>
      <c r="J55" s="396">
        <f t="shared" si="3"/>
        <v>23.910400000000003</v>
      </c>
      <c r="K55" s="396">
        <f t="shared" si="4"/>
        <v>0</v>
      </c>
      <c r="L55" s="397">
        <f t="shared" si="5"/>
        <v>19.65136</v>
      </c>
      <c r="M55" s="397">
        <f t="shared" si="6"/>
        <v>0</v>
      </c>
      <c r="N55" s="397">
        <f t="shared" si="7"/>
        <v>16.363680000000002</v>
      </c>
      <c r="O55" s="397">
        <f t="shared" si="8"/>
        <v>0</v>
      </c>
      <c r="P55" s="568"/>
    </row>
    <row r="56" spans="1:16" s="291" customFormat="1" ht="13.5" thickBot="1">
      <c r="A56" s="1006"/>
      <c r="B56" s="541"/>
      <c r="C56" s="398" t="s">
        <v>119</v>
      </c>
      <c r="D56" s="731" t="s">
        <v>120</v>
      </c>
      <c r="E56" s="725">
        <v>222.6</v>
      </c>
      <c r="F56" s="343">
        <f t="shared" si="9"/>
        <v>178.08</v>
      </c>
      <c r="G56" s="343">
        <f t="shared" si="0"/>
        <v>0</v>
      </c>
      <c r="H56" s="566">
        <f t="shared" si="1"/>
        <v>15.047760000000002</v>
      </c>
      <c r="I56" s="566">
        <f t="shared" si="2"/>
        <v>0</v>
      </c>
      <c r="J56" s="566">
        <f t="shared" si="3"/>
        <v>5.6985600000000005</v>
      </c>
      <c r="K56" s="566">
        <f t="shared" si="4"/>
        <v>0</v>
      </c>
      <c r="L56" s="567">
        <f t="shared" si="5"/>
        <v>4.6835040000000001</v>
      </c>
      <c r="M56" s="567">
        <f t="shared" si="6"/>
        <v>0</v>
      </c>
      <c r="N56" s="567">
        <f t="shared" si="7"/>
        <v>3.8999520000000003</v>
      </c>
      <c r="O56" s="567">
        <f t="shared" si="8"/>
        <v>0</v>
      </c>
      <c r="P56" s="568"/>
    </row>
    <row r="57" spans="1:16" s="291" customFormat="1" ht="13.5" thickBot="1">
      <c r="A57" s="1006"/>
      <c r="B57" s="541"/>
      <c r="C57" s="729" t="s">
        <v>123</v>
      </c>
      <c r="D57" s="733" t="s">
        <v>124</v>
      </c>
      <c r="E57" s="725">
        <v>308</v>
      </c>
      <c r="F57" s="343">
        <f t="shared" si="9"/>
        <v>246.4</v>
      </c>
      <c r="G57" s="343">
        <f t="shared" si="0"/>
        <v>0</v>
      </c>
      <c r="H57" s="566">
        <f t="shared" si="1"/>
        <v>20.820800000000002</v>
      </c>
      <c r="I57" s="566">
        <f t="shared" si="2"/>
        <v>0</v>
      </c>
      <c r="J57" s="566">
        <f t="shared" si="3"/>
        <v>7.8848000000000003</v>
      </c>
      <c r="K57" s="566">
        <f t="shared" si="4"/>
        <v>0</v>
      </c>
      <c r="L57" s="567">
        <f t="shared" si="5"/>
        <v>6.4803199999999999</v>
      </c>
      <c r="M57" s="567">
        <f t="shared" si="6"/>
        <v>0</v>
      </c>
      <c r="N57" s="567">
        <f t="shared" si="7"/>
        <v>5.3961600000000001</v>
      </c>
      <c r="O57" s="567">
        <f t="shared" si="8"/>
        <v>0</v>
      </c>
      <c r="P57" s="568"/>
    </row>
    <row r="58" spans="1:16" s="291" customFormat="1" ht="13.5" thickBot="1">
      <c r="A58" s="1006"/>
      <c r="B58" s="319"/>
      <c r="C58" s="729" t="s">
        <v>125</v>
      </c>
      <c r="D58" s="733" t="s">
        <v>126</v>
      </c>
      <c r="E58" s="725">
        <v>136</v>
      </c>
      <c r="F58" s="41">
        <f t="shared" si="9"/>
        <v>108.80000000000001</v>
      </c>
      <c r="G58" s="41">
        <f t="shared" si="0"/>
        <v>0</v>
      </c>
      <c r="H58" s="396">
        <f t="shared" si="1"/>
        <v>9.1936000000000018</v>
      </c>
      <c r="I58" s="396">
        <f t="shared" si="2"/>
        <v>0</v>
      </c>
      <c r="J58" s="396">
        <f t="shared" si="3"/>
        <v>3.4816000000000003</v>
      </c>
      <c r="K58" s="396">
        <f t="shared" si="4"/>
        <v>0</v>
      </c>
      <c r="L58" s="397">
        <f t="shared" si="5"/>
        <v>2.8614400000000004</v>
      </c>
      <c r="M58" s="397">
        <f t="shared" si="6"/>
        <v>0</v>
      </c>
      <c r="N58" s="397">
        <f t="shared" si="7"/>
        <v>2.3827200000000004</v>
      </c>
      <c r="O58" s="397">
        <f t="shared" si="8"/>
        <v>0</v>
      </c>
      <c r="P58" s="568"/>
    </row>
    <row r="59" spans="1:16" s="291" customFormat="1" ht="13.5" thickBot="1">
      <c r="A59" s="1006"/>
      <c r="B59" s="541"/>
      <c r="C59" s="398" t="s">
        <v>127</v>
      </c>
      <c r="D59" s="731" t="s">
        <v>170</v>
      </c>
      <c r="E59" s="726">
        <v>139</v>
      </c>
      <c r="F59" s="40">
        <f t="shared" si="9"/>
        <v>111.2</v>
      </c>
      <c r="G59" s="40">
        <f t="shared" si="0"/>
        <v>0</v>
      </c>
      <c r="H59" s="396">
        <f t="shared" si="1"/>
        <v>9.3964000000000016</v>
      </c>
      <c r="I59" s="396">
        <f t="shared" si="2"/>
        <v>0</v>
      </c>
      <c r="J59" s="396">
        <f t="shared" si="3"/>
        <v>3.5584000000000002</v>
      </c>
      <c r="K59" s="396">
        <f t="shared" si="4"/>
        <v>0</v>
      </c>
      <c r="L59" s="397">
        <f t="shared" si="5"/>
        <v>2.92456</v>
      </c>
      <c r="M59" s="397">
        <f t="shared" si="6"/>
        <v>0</v>
      </c>
      <c r="N59" s="397">
        <f t="shared" si="7"/>
        <v>2.4352800000000001</v>
      </c>
      <c r="O59" s="397">
        <f t="shared" si="8"/>
        <v>0</v>
      </c>
      <c r="P59" s="568"/>
    </row>
    <row r="60" spans="1:16" s="291" customFormat="1" ht="13.5" thickBot="1">
      <c r="A60" s="1006"/>
      <c r="B60" s="319"/>
      <c r="C60" s="728" t="s">
        <v>129</v>
      </c>
      <c r="D60" s="731" t="s">
        <v>171</v>
      </c>
      <c r="E60" s="725">
        <v>785</v>
      </c>
      <c r="F60" s="322">
        <f t="shared" si="9"/>
        <v>628</v>
      </c>
      <c r="G60" s="322">
        <f t="shared" si="0"/>
        <v>0</v>
      </c>
      <c r="H60" s="566">
        <f t="shared" si="1"/>
        <v>53.066000000000003</v>
      </c>
      <c r="I60" s="566">
        <f t="shared" si="2"/>
        <v>0</v>
      </c>
      <c r="J60" s="566">
        <f t="shared" si="3"/>
        <v>20.096</v>
      </c>
      <c r="K60" s="566">
        <f t="shared" si="4"/>
        <v>0</v>
      </c>
      <c r="L60" s="567">
        <f t="shared" si="5"/>
        <v>16.516400000000001</v>
      </c>
      <c r="M60" s="567">
        <f t="shared" si="6"/>
        <v>0</v>
      </c>
      <c r="N60" s="567">
        <f t="shared" si="7"/>
        <v>13.7532</v>
      </c>
      <c r="O60" s="567">
        <f t="shared" si="8"/>
        <v>0</v>
      </c>
      <c r="P60" s="568"/>
    </row>
    <row r="61" spans="1:16" s="291" customFormat="1" ht="13.5" thickBot="1">
      <c r="A61" s="1006"/>
      <c r="B61" s="319"/>
      <c r="C61" s="398" t="s">
        <v>131</v>
      </c>
      <c r="D61" s="731" t="s">
        <v>172</v>
      </c>
      <c r="E61" s="725">
        <v>821</v>
      </c>
      <c r="F61" s="41">
        <f t="shared" si="9"/>
        <v>656.80000000000007</v>
      </c>
      <c r="G61" s="41">
        <f t="shared" si="0"/>
        <v>0</v>
      </c>
      <c r="H61" s="396">
        <f t="shared" si="1"/>
        <v>55.499600000000008</v>
      </c>
      <c r="I61" s="396">
        <f t="shared" si="2"/>
        <v>0</v>
      </c>
      <c r="J61" s="396">
        <f t="shared" si="3"/>
        <v>21.017600000000002</v>
      </c>
      <c r="K61" s="396">
        <f t="shared" si="4"/>
        <v>0</v>
      </c>
      <c r="L61" s="397">
        <f t="shared" si="5"/>
        <v>17.273840000000003</v>
      </c>
      <c r="M61" s="397">
        <f t="shared" si="6"/>
        <v>0</v>
      </c>
      <c r="N61" s="397">
        <f t="shared" si="7"/>
        <v>14.383920000000002</v>
      </c>
      <c r="O61" s="397">
        <f t="shared" si="8"/>
        <v>0</v>
      </c>
      <c r="P61" s="568"/>
    </row>
    <row r="62" spans="1:16" s="291" customFormat="1" ht="13.5" thickBot="1">
      <c r="A62" s="1006"/>
      <c r="B62" s="541"/>
      <c r="C62" s="730" t="s">
        <v>133</v>
      </c>
      <c r="D62" s="734" t="s">
        <v>134</v>
      </c>
      <c r="E62" s="725">
        <v>690</v>
      </c>
      <c r="F62" s="40">
        <f t="shared" si="9"/>
        <v>552</v>
      </c>
      <c r="G62" s="40">
        <f t="shared" si="0"/>
        <v>0</v>
      </c>
      <c r="H62" s="396">
        <f t="shared" si="1"/>
        <v>46.644000000000005</v>
      </c>
      <c r="I62" s="396">
        <f t="shared" si="2"/>
        <v>0</v>
      </c>
      <c r="J62" s="396">
        <f t="shared" si="3"/>
        <v>17.664000000000001</v>
      </c>
      <c r="K62" s="396">
        <f t="shared" si="4"/>
        <v>0</v>
      </c>
      <c r="L62" s="397">
        <f t="shared" si="5"/>
        <v>14.5176</v>
      </c>
      <c r="M62" s="397">
        <f t="shared" si="6"/>
        <v>0</v>
      </c>
      <c r="N62" s="397">
        <f t="shared" si="7"/>
        <v>12.088799999999999</v>
      </c>
      <c r="O62" s="397">
        <f t="shared" si="8"/>
        <v>0</v>
      </c>
      <c r="P62" s="568"/>
    </row>
    <row r="63" spans="1:16" s="291" customFormat="1" ht="13.5" thickBot="1">
      <c r="A63" s="1006"/>
      <c r="B63" s="541"/>
      <c r="C63" s="728" t="s">
        <v>135</v>
      </c>
      <c r="D63" s="731" t="s">
        <v>136</v>
      </c>
      <c r="E63" s="725">
        <v>191</v>
      </c>
      <c r="F63" s="40">
        <f t="shared" si="9"/>
        <v>152.80000000000001</v>
      </c>
      <c r="G63" s="40">
        <f t="shared" si="0"/>
        <v>0</v>
      </c>
      <c r="H63" s="396">
        <f t="shared" si="1"/>
        <v>12.911600000000002</v>
      </c>
      <c r="I63" s="396">
        <f t="shared" si="2"/>
        <v>0</v>
      </c>
      <c r="J63" s="396">
        <f t="shared" si="3"/>
        <v>4.8896000000000006</v>
      </c>
      <c r="K63" s="396">
        <f t="shared" si="4"/>
        <v>0</v>
      </c>
      <c r="L63" s="397">
        <f t="shared" si="5"/>
        <v>4.0186400000000004</v>
      </c>
      <c r="M63" s="397">
        <f t="shared" si="6"/>
        <v>0</v>
      </c>
      <c r="N63" s="397">
        <f t="shared" si="7"/>
        <v>3.34632</v>
      </c>
      <c r="O63" s="397">
        <f t="shared" si="8"/>
        <v>0</v>
      </c>
      <c r="P63" s="568"/>
    </row>
    <row r="64" spans="1:16" s="291" customFormat="1" ht="13.5" thickBot="1">
      <c r="A64" s="1006"/>
      <c r="B64" s="319"/>
      <c r="C64" s="729" t="s">
        <v>137</v>
      </c>
      <c r="D64" s="731" t="s">
        <v>173</v>
      </c>
      <c r="E64" s="725">
        <v>667.8</v>
      </c>
      <c r="F64" s="41">
        <f t="shared" si="9"/>
        <v>534.24</v>
      </c>
      <c r="G64" s="41">
        <f t="shared" si="0"/>
        <v>0</v>
      </c>
      <c r="H64" s="396">
        <f t="shared" si="1"/>
        <v>45.143280000000004</v>
      </c>
      <c r="I64" s="396">
        <f t="shared" si="2"/>
        <v>0</v>
      </c>
      <c r="J64" s="396">
        <f t="shared" si="3"/>
        <v>17.095680000000002</v>
      </c>
      <c r="K64" s="396">
        <f t="shared" si="4"/>
        <v>0</v>
      </c>
      <c r="L64" s="397">
        <f t="shared" si="5"/>
        <v>14.050512000000001</v>
      </c>
      <c r="M64" s="397">
        <f t="shared" si="6"/>
        <v>0</v>
      </c>
      <c r="N64" s="397">
        <f t="shared" si="7"/>
        <v>11.699856</v>
      </c>
      <c r="O64" s="397">
        <f t="shared" si="8"/>
        <v>0</v>
      </c>
      <c r="P64" s="568"/>
    </row>
    <row r="65" spans="1:16" s="291" customFormat="1" ht="13.5" thickBot="1">
      <c r="A65" s="1006"/>
      <c r="B65" s="319"/>
      <c r="C65" s="729" t="s">
        <v>139</v>
      </c>
      <c r="D65" s="732" t="s">
        <v>140</v>
      </c>
      <c r="E65" s="725">
        <v>250</v>
      </c>
      <c r="F65" s="322">
        <f t="shared" si="9"/>
        <v>200</v>
      </c>
      <c r="G65" s="41">
        <f t="shared" si="0"/>
        <v>0</v>
      </c>
      <c r="H65" s="566">
        <f t="shared" si="1"/>
        <v>16.900000000000002</v>
      </c>
      <c r="I65" s="396">
        <f t="shared" si="2"/>
        <v>0</v>
      </c>
      <c r="J65" s="566">
        <f t="shared" si="3"/>
        <v>6.4</v>
      </c>
      <c r="K65" s="396">
        <f t="shared" si="4"/>
        <v>0</v>
      </c>
      <c r="L65" s="567">
        <f t="shared" si="5"/>
        <v>5.26</v>
      </c>
      <c r="M65" s="397">
        <f t="shared" si="6"/>
        <v>0</v>
      </c>
      <c r="N65" s="567">
        <f t="shared" si="7"/>
        <v>4.38</v>
      </c>
      <c r="O65" s="397">
        <f t="shared" si="8"/>
        <v>0</v>
      </c>
      <c r="P65" s="568"/>
    </row>
    <row r="66" spans="1:16" s="291" customFormat="1" ht="13.5" thickBot="1">
      <c r="A66" s="1006"/>
      <c r="B66" s="541"/>
      <c r="C66" s="729" t="s">
        <v>141</v>
      </c>
      <c r="D66" s="731" t="s">
        <v>174</v>
      </c>
      <c r="E66" s="725">
        <v>250</v>
      </c>
      <c r="F66" s="40">
        <f t="shared" si="9"/>
        <v>200</v>
      </c>
      <c r="G66" s="40">
        <f t="shared" si="0"/>
        <v>0</v>
      </c>
      <c r="H66" s="396">
        <f t="shared" si="1"/>
        <v>16.900000000000002</v>
      </c>
      <c r="I66" s="396">
        <f t="shared" si="2"/>
        <v>0</v>
      </c>
      <c r="J66" s="396">
        <f t="shared" si="3"/>
        <v>6.4</v>
      </c>
      <c r="K66" s="396">
        <f t="shared" si="4"/>
        <v>0</v>
      </c>
      <c r="L66" s="397">
        <f t="shared" si="5"/>
        <v>5.26</v>
      </c>
      <c r="M66" s="397">
        <f t="shared" si="6"/>
        <v>0</v>
      </c>
      <c r="N66" s="397">
        <f t="shared" si="7"/>
        <v>4.38</v>
      </c>
      <c r="O66" s="397">
        <f t="shared" si="8"/>
        <v>0</v>
      </c>
      <c r="P66" s="568"/>
    </row>
    <row r="67" spans="1:16" s="291" customFormat="1" ht="13.5" thickBot="1">
      <c r="A67" s="1006"/>
      <c r="B67" s="319"/>
      <c r="C67" s="729" t="s">
        <v>143</v>
      </c>
      <c r="D67" s="731" t="s">
        <v>144</v>
      </c>
      <c r="E67" s="725">
        <v>95</v>
      </c>
      <c r="F67" s="41">
        <f t="shared" si="9"/>
        <v>76</v>
      </c>
      <c r="G67" s="41">
        <f t="shared" si="0"/>
        <v>0</v>
      </c>
      <c r="H67" s="396">
        <f t="shared" si="1"/>
        <v>6.4220000000000006</v>
      </c>
      <c r="I67" s="396">
        <f t="shared" si="2"/>
        <v>0</v>
      </c>
      <c r="J67" s="396">
        <f t="shared" si="3"/>
        <v>2.4319999999999999</v>
      </c>
      <c r="K67" s="396">
        <f t="shared" si="4"/>
        <v>0</v>
      </c>
      <c r="L67" s="397">
        <f t="shared" si="5"/>
        <v>1.9988000000000001</v>
      </c>
      <c r="M67" s="397">
        <f t="shared" si="6"/>
        <v>0</v>
      </c>
      <c r="N67" s="397">
        <f t="shared" si="7"/>
        <v>1.6643999999999999</v>
      </c>
      <c r="O67" s="397">
        <f t="shared" si="8"/>
        <v>0</v>
      </c>
      <c r="P67" s="568"/>
    </row>
    <row r="68" spans="1:16" s="291" customFormat="1" ht="13.5" thickBot="1">
      <c r="A68" s="1006"/>
      <c r="B68" s="319"/>
      <c r="C68" s="398" t="s">
        <v>145</v>
      </c>
      <c r="D68" s="731" t="s">
        <v>175</v>
      </c>
      <c r="E68" s="725">
        <v>374</v>
      </c>
      <c r="F68" s="322">
        <f t="shared" si="9"/>
        <v>299.2</v>
      </c>
      <c r="G68" s="322">
        <f t="shared" si="0"/>
        <v>0</v>
      </c>
      <c r="H68" s="566">
        <f t="shared" si="1"/>
        <v>25.282399999999999</v>
      </c>
      <c r="I68" s="566">
        <f t="shared" si="2"/>
        <v>0</v>
      </c>
      <c r="J68" s="566">
        <f t="shared" si="3"/>
        <v>9.5744000000000007</v>
      </c>
      <c r="K68" s="566">
        <f t="shared" si="4"/>
        <v>0</v>
      </c>
      <c r="L68" s="567">
        <f t="shared" si="5"/>
        <v>7.8689599999999995</v>
      </c>
      <c r="M68" s="567">
        <f t="shared" si="6"/>
        <v>0</v>
      </c>
      <c r="N68" s="567">
        <f t="shared" si="7"/>
        <v>6.5524799999999992</v>
      </c>
      <c r="O68" s="567">
        <f t="shared" si="8"/>
        <v>0</v>
      </c>
      <c r="P68" s="568"/>
    </row>
    <row r="69" spans="1:16" s="291" customFormat="1" ht="13.5" thickBot="1">
      <c r="A69" s="1006"/>
      <c r="B69" s="541"/>
      <c r="C69" s="728" t="s">
        <v>147</v>
      </c>
      <c r="D69" s="731" t="s">
        <v>176</v>
      </c>
      <c r="E69" s="725">
        <v>386</v>
      </c>
      <c r="F69" s="343">
        <f t="shared" si="9"/>
        <v>308.8</v>
      </c>
      <c r="G69" s="343">
        <f t="shared" si="0"/>
        <v>0</v>
      </c>
      <c r="H69" s="566">
        <f t="shared" si="1"/>
        <v>26.093600000000002</v>
      </c>
      <c r="I69" s="566">
        <f t="shared" si="2"/>
        <v>0</v>
      </c>
      <c r="J69" s="566">
        <f t="shared" si="3"/>
        <v>9.8816000000000006</v>
      </c>
      <c r="K69" s="566">
        <f t="shared" si="4"/>
        <v>0</v>
      </c>
      <c r="L69" s="567">
        <f t="shared" si="5"/>
        <v>8.1214399999999998</v>
      </c>
      <c r="M69" s="567">
        <f t="shared" si="6"/>
        <v>0</v>
      </c>
      <c r="N69" s="567">
        <f t="shared" si="7"/>
        <v>6.7627199999999998</v>
      </c>
      <c r="O69" s="567">
        <f t="shared" si="8"/>
        <v>0</v>
      </c>
      <c r="P69" s="568"/>
    </row>
    <row r="70" spans="1:16" s="291" customFormat="1" ht="13.5" thickBot="1">
      <c r="A70" s="1006"/>
      <c r="B70" s="319"/>
      <c r="C70" s="398" t="s">
        <v>149</v>
      </c>
      <c r="D70" s="731" t="s">
        <v>150</v>
      </c>
      <c r="E70" s="725">
        <v>120</v>
      </c>
      <c r="F70" s="41">
        <f t="shared" si="9"/>
        <v>96</v>
      </c>
      <c r="G70" s="41">
        <f t="shared" si="0"/>
        <v>0</v>
      </c>
      <c r="H70" s="396">
        <f t="shared" si="1"/>
        <v>8.1120000000000001</v>
      </c>
      <c r="I70" s="396">
        <f t="shared" si="2"/>
        <v>0</v>
      </c>
      <c r="J70" s="396">
        <f t="shared" si="3"/>
        <v>3.0720000000000001</v>
      </c>
      <c r="K70" s="396">
        <f t="shared" si="4"/>
        <v>0</v>
      </c>
      <c r="L70" s="397">
        <f t="shared" si="5"/>
        <v>2.5247999999999999</v>
      </c>
      <c r="M70" s="397">
        <f t="shared" si="6"/>
        <v>0</v>
      </c>
      <c r="N70" s="397">
        <f t="shared" si="7"/>
        <v>2.1023999999999998</v>
      </c>
      <c r="O70" s="397">
        <f t="shared" si="8"/>
        <v>0</v>
      </c>
      <c r="P70" s="568"/>
    </row>
    <row r="71" spans="1:16" s="291" customFormat="1" ht="13.5" thickBot="1">
      <c r="A71" s="1007"/>
      <c r="B71" s="319"/>
      <c r="C71" s="730" t="s">
        <v>151</v>
      </c>
      <c r="D71" s="731" t="s">
        <v>152</v>
      </c>
      <c r="E71" s="725">
        <v>120</v>
      </c>
      <c r="F71" s="41">
        <f t="shared" si="9"/>
        <v>96</v>
      </c>
      <c r="G71" s="41">
        <f t="shared" si="0"/>
        <v>0</v>
      </c>
      <c r="H71" s="396">
        <f t="shared" si="1"/>
        <v>8.1120000000000001</v>
      </c>
      <c r="I71" s="396">
        <f t="shared" si="2"/>
        <v>0</v>
      </c>
      <c r="J71" s="396">
        <f t="shared" si="3"/>
        <v>3.0720000000000001</v>
      </c>
      <c r="K71" s="396">
        <f t="shared" si="4"/>
        <v>0</v>
      </c>
      <c r="L71" s="397">
        <f t="shared" si="5"/>
        <v>2.5247999999999999</v>
      </c>
      <c r="M71" s="397">
        <f t="shared" si="6"/>
        <v>0</v>
      </c>
      <c r="N71" s="397">
        <f t="shared" si="7"/>
        <v>2.1023999999999998</v>
      </c>
      <c r="O71" s="397">
        <f t="shared" si="8"/>
        <v>0</v>
      </c>
      <c r="P71" s="568"/>
    </row>
    <row r="72" spans="1:16" s="315" customFormat="1" ht="15">
      <c r="B72" s="572"/>
      <c r="C72" s="727"/>
      <c r="D72" s="1008" t="s">
        <v>65</v>
      </c>
      <c r="E72" s="1009"/>
      <c r="F72" s="1010"/>
      <c r="G72" s="573">
        <f t="array" ref="G72">SUM(G47:G71)+G39:G46:G71+G43:G46:G71</f>
        <v>0</v>
      </c>
      <c r="H72" s="329" t="s">
        <v>153</v>
      </c>
      <c r="I72" s="573">
        <f t="array" ref="I72">SUM(I47:I71)+I39:I46:I71+I43:I46:I71</f>
        <v>0</v>
      </c>
      <c r="J72" s="329" t="s">
        <v>154</v>
      </c>
      <c r="K72" s="573">
        <f t="array" ref="K72">SUM(K47:K71)+K39:K46:K71+K43:K46:K71</f>
        <v>0</v>
      </c>
      <c r="L72" s="329" t="s">
        <v>155</v>
      </c>
      <c r="M72" s="573">
        <f t="array" ref="M72">SUM(M47:M71)+M39:M46:M71+M43:M46:M71</f>
        <v>0</v>
      </c>
      <c r="N72" s="329" t="s">
        <v>156</v>
      </c>
      <c r="O72" s="573">
        <f t="array" ref="O72">SUM(O47:O71)+O39:O46:O71+O43:O46:O71</f>
        <v>0</v>
      </c>
    </row>
    <row r="78" spans="1:16" ht="14.25">
      <c r="C78" s="269"/>
      <c r="D78" s="283"/>
    </row>
    <row r="79" spans="1:16" ht="14.25">
      <c r="C79" s="269"/>
      <c r="D79" s="283"/>
    </row>
    <row r="80" spans="1:16" ht="14.25">
      <c r="C80" s="269"/>
      <c r="D80" s="283"/>
    </row>
    <row r="81" spans="2:15" ht="14.25">
      <c r="C81" s="269"/>
      <c r="D81" s="283"/>
    </row>
    <row r="82" spans="2:15" ht="14.25">
      <c r="C82" s="269"/>
      <c r="D82" s="283"/>
    </row>
    <row r="83" spans="2:15" ht="14.25">
      <c r="C83" s="269"/>
      <c r="D83" s="283"/>
    </row>
    <row r="84" spans="2:15" ht="14.25">
      <c r="C84" s="269"/>
      <c r="D84" s="283"/>
    </row>
    <row r="85" spans="2:15" ht="14.25">
      <c r="C85" s="269"/>
      <c r="D85" s="283"/>
    </row>
    <row r="86" spans="2:15" ht="14.25">
      <c r="B86" s="258"/>
      <c r="C86" s="269"/>
      <c r="D86" s="283"/>
    </row>
    <row r="87" spans="2:15" ht="14.25">
      <c r="C87" s="269"/>
      <c r="D87" s="283"/>
    </row>
    <row r="88" spans="2:15" ht="14.25">
      <c r="E88" s="269"/>
      <c r="F88" s="283"/>
      <c r="G88" s="256"/>
      <c r="H88" s="333"/>
      <c r="I88" s="333"/>
    </row>
    <row r="89" spans="2:15" ht="14.25" outlineLevel="2">
      <c r="D89" s="269"/>
      <c r="E89" s="283"/>
      <c r="F89" s="256"/>
      <c r="H89" s="333"/>
    </row>
    <row r="90" spans="2:15" ht="14.25" collapsed="1">
      <c r="C90" s="283"/>
      <c r="E90" s="333"/>
      <c r="G90" s="256"/>
      <c r="N90" s="269"/>
      <c r="O90" s="283"/>
    </row>
    <row r="91" spans="2:15" ht="14.25">
      <c r="C91" s="333"/>
      <c r="D91" s="333"/>
      <c r="F91" s="256"/>
      <c r="G91" s="256"/>
      <c r="L91" s="269"/>
      <c r="M91" s="283"/>
      <c r="O91" s="333"/>
    </row>
    <row r="92" spans="2:15" ht="14.25">
      <c r="F92" s="256"/>
      <c r="G92" s="269"/>
      <c r="I92" s="269"/>
      <c r="J92" s="283"/>
      <c r="L92" s="333"/>
      <c r="M92" s="333"/>
    </row>
    <row r="93" spans="2:15" ht="14.25">
      <c r="F93" s="256"/>
      <c r="G93" s="269"/>
      <c r="H93" s="283"/>
      <c r="J93" s="333"/>
      <c r="K93" s="333"/>
    </row>
    <row r="94" spans="2:15" ht="14.25" outlineLevel="2">
      <c r="E94" s="283"/>
      <c r="F94" s="256"/>
      <c r="H94" s="333"/>
    </row>
    <row r="95" spans="2:15" ht="21.75" customHeight="1" collapsed="1">
      <c r="C95" s="283"/>
      <c r="E95" s="333"/>
      <c r="G95" s="256"/>
      <c r="K95" s="269"/>
      <c r="M95" s="269"/>
      <c r="N95" s="283"/>
      <c r="O95" s="333"/>
    </row>
  </sheetData>
  <mergeCells count="52">
    <mergeCell ref="A28:H28"/>
    <mergeCell ref="I28:O28"/>
    <mergeCell ref="A4:O4"/>
    <mergeCell ref="A5:O5"/>
    <mergeCell ref="G10:J10"/>
    <mergeCell ref="D23:D24"/>
    <mergeCell ref="A27:O27"/>
    <mergeCell ref="A29:D29"/>
    <mergeCell ref="E29:G29"/>
    <mergeCell ref="I29:L29"/>
    <mergeCell ref="M29:O29"/>
    <mergeCell ref="A30:D30"/>
    <mergeCell ref="E30:G30"/>
    <mergeCell ref="I30:L30"/>
    <mergeCell ref="M30:O30"/>
    <mergeCell ref="A31:D31"/>
    <mergeCell ref="E31:G31"/>
    <mergeCell ref="I31:L31"/>
    <mergeCell ref="M31:O31"/>
    <mergeCell ref="A32:D32"/>
    <mergeCell ref="E32:G32"/>
    <mergeCell ref="I32:L32"/>
    <mergeCell ref="M32:O32"/>
    <mergeCell ref="F34:J34"/>
    <mergeCell ref="F35:J35"/>
    <mergeCell ref="F37:G37"/>
    <mergeCell ref="H37:O37"/>
    <mergeCell ref="A39:A41"/>
    <mergeCell ref="B39:B41"/>
    <mergeCell ref="G39:G41"/>
    <mergeCell ref="H39:H41"/>
    <mergeCell ref="I39:I41"/>
    <mergeCell ref="J39:J41"/>
    <mergeCell ref="K39:K41"/>
    <mergeCell ref="L39:L41"/>
    <mergeCell ref="M39:M41"/>
    <mergeCell ref="N39:N41"/>
    <mergeCell ref="O39:O41"/>
    <mergeCell ref="A46:O46"/>
    <mergeCell ref="A47:A71"/>
    <mergeCell ref="D72:F72"/>
    <mergeCell ref="J43:J45"/>
    <mergeCell ref="K43:K45"/>
    <mergeCell ref="L43:L45"/>
    <mergeCell ref="M43:M45"/>
    <mergeCell ref="N43:N45"/>
    <mergeCell ref="O43:O45"/>
    <mergeCell ref="A43:A45"/>
    <mergeCell ref="B43:B45"/>
    <mergeCell ref="G43:G45"/>
    <mergeCell ref="H43:H45"/>
    <mergeCell ref="I43:I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B3324-D2AB-4BFC-A306-0CDBE68675EC}">
  <sheetPr>
    <tabColor rgb="FFFF0000"/>
  </sheetPr>
  <dimension ref="A1:R58"/>
  <sheetViews>
    <sheetView topLeftCell="A16" zoomScale="112" zoomScaleNormal="112" workbookViewId="0">
      <selection activeCell="A5" sqref="A5:O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1.2851562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862</v>
      </c>
      <c r="B4" s="1020"/>
      <c r="C4" s="1020"/>
      <c r="D4" s="1020"/>
      <c r="E4" s="1020"/>
      <c r="F4" s="1020"/>
      <c r="G4" s="1020"/>
      <c r="H4" s="1020"/>
      <c r="I4" s="1020"/>
      <c r="J4" s="1020"/>
      <c r="K4" s="1020"/>
      <c r="L4" s="1020"/>
      <c r="M4" s="1020"/>
      <c r="N4" s="1020"/>
      <c r="O4" s="1020"/>
    </row>
    <row r="5" spans="1:18" s="266" customFormat="1" ht="41.25" customHeight="1">
      <c r="A5" s="1188" t="s">
        <v>863</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F8" s="446"/>
      <c r="G8" s="446"/>
      <c r="H8" s="1262"/>
      <c r="I8" s="1262"/>
      <c r="J8" s="1262"/>
      <c r="K8" s="507"/>
    </row>
    <row r="9" spans="1:18" s="265" customFormat="1" ht="14.25">
      <c r="H9" s="275"/>
      <c r="I9" s="630"/>
      <c r="J9" s="282"/>
      <c r="L9" s="282"/>
    </row>
    <row r="10" spans="1:18" s="265" customFormat="1">
      <c r="F10" s="446"/>
      <c r="G10" s="871"/>
      <c r="H10" s="276"/>
      <c r="I10" s="282"/>
      <c r="J10" s="282"/>
      <c r="K10" s="273"/>
      <c r="L10" s="282"/>
    </row>
    <row r="11" spans="1:18" s="265" customFormat="1">
      <c r="F11" s="446"/>
      <c r="G11" s="446"/>
      <c r="H11" s="270"/>
      <c r="I11" s="556"/>
      <c r="J11" s="282"/>
      <c r="L11" s="282"/>
    </row>
    <row r="12" spans="1:18" s="265" customFormat="1">
      <c r="F12" s="446"/>
      <c r="G12" s="446"/>
      <c r="H12" s="270"/>
      <c r="J12" s="282"/>
      <c r="L12" s="282"/>
    </row>
    <row r="13" spans="1:18" s="265" customFormat="1">
      <c r="B13" s="508"/>
      <c r="C13" s="508"/>
      <c r="F13" s="446"/>
      <c r="G13" s="446"/>
      <c r="H13" s="270"/>
      <c r="J13" s="282"/>
      <c r="L13" s="282"/>
    </row>
    <row r="14" spans="1:18" s="265" customFormat="1" ht="14.25">
      <c r="D14" s="1047"/>
      <c r="E14" s="277"/>
      <c r="H14" s="270"/>
    </row>
    <row r="15" spans="1:18" s="265" customFormat="1" ht="14.25">
      <c r="D15" s="1047"/>
      <c r="E15" s="277"/>
      <c r="H15" s="270"/>
    </row>
    <row r="16" spans="1:18" s="265" customFormat="1" ht="12" customHeight="1">
      <c r="F16" s="446"/>
      <c r="G16" s="446"/>
      <c r="H16" s="270"/>
      <c r="I16" s="282"/>
      <c r="J16" s="282"/>
      <c r="L16" s="282"/>
    </row>
    <row r="17" spans="1:18" s="265" customFormat="1" ht="18.75" thickBot="1">
      <c r="A17" s="1263" t="s">
        <v>30</v>
      </c>
      <c r="B17" s="1230"/>
      <c r="C17" s="1230"/>
      <c r="D17" s="1230"/>
      <c r="E17" s="1230"/>
      <c r="F17" s="1230"/>
      <c r="G17" s="1230"/>
      <c r="H17" s="1230"/>
      <c r="I17" s="1230"/>
      <c r="J17" s="1230"/>
      <c r="K17" s="1230"/>
      <c r="L17" s="1230"/>
      <c r="M17" s="1230"/>
      <c r="N17" s="1230"/>
      <c r="O17" s="1230"/>
      <c r="P17" s="1230"/>
      <c r="Q17" s="1230"/>
    </row>
    <row r="18" spans="1:18" s="265" customFormat="1" ht="18" customHeight="1">
      <c r="A18" s="1264" t="s">
        <v>844</v>
      </c>
      <c r="B18" s="1265"/>
      <c r="C18" s="1265"/>
      <c r="D18" s="1265"/>
      <c r="E18" s="1265"/>
      <c r="F18" s="1265"/>
      <c r="G18" s="1265"/>
      <c r="H18" s="1265"/>
      <c r="I18" s="1265"/>
      <c r="J18" s="1265"/>
      <c r="K18" s="1265"/>
      <c r="L18" s="1265"/>
      <c r="M18" s="1265"/>
      <c r="N18" s="1265"/>
      <c r="O18" s="1265"/>
      <c r="P18" s="1265"/>
      <c r="Q18" s="1266"/>
    </row>
    <row r="19" spans="1:18" s="265" customFormat="1" ht="18" customHeight="1">
      <c r="A19" s="1219" t="s">
        <v>845</v>
      </c>
      <c r="B19" s="1220"/>
      <c r="C19" s="1220"/>
      <c r="D19" s="1220"/>
      <c r="E19" s="1220"/>
      <c r="F19" s="1220"/>
      <c r="G19" s="1220"/>
      <c r="H19" s="1220"/>
      <c r="I19" s="1255">
        <v>2348</v>
      </c>
      <c r="J19" s="1255"/>
      <c r="K19" s="1255"/>
      <c r="L19" s="1255"/>
      <c r="M19" s="1255"/>
      <c r="N19" s="1255"/>
      <c r="O19" s="1255"/>
      <c r="P19" s="1255"/>
      <c r="Q19" s="1267"/>
    </row>
    <row r="20" spans="1:18" s="265" customFormat="1" ht="18" customHeight="1" thickBot="1">
      <c r="A20" s="1221" t="s">
        <v>846</v>
      </c>
      <c r="B20" s="1222"/>
      <c r="C20" s="1222"/>
      <c r="D20" s="1222"/>
      <c r="E20" s="1222"/>
      <c r="F20" s="1222"/>
      <c r="G20" s="1222"/>
      <c r="H20" s="1222"/>
      <c r="I20" s="1222"/>
      <c r="J20" s="1222"/>
      <c r="K20" s="1222"/>
      <c r="L20" s="1222"/>
      <c r="M20" s="1222"/>
      <c r="N20" s="1222"/>
      <c r="O20" s="1222"/>
      <c r="P20" s="1222"/>
      <c r="Q20" s="1223"/>
    </row>
    <row r="21" spans="1:18" s="265" customFormat="1" ht="15" thickBot="1">
      <c r="D21" s="277"/>
      <c r="E21" s="277"/>
      <c r="F21" s="283"/>
      <c r="G21" s="283"/>
      <c r="I21" s="288"/>
      <c r="J21" s="288"/>
      <c r="K21" s="288"/>
      <c r="L21" s="288"/>
    </row>
    <row r="22" spans="1:18" s="265" customFormat="1" ht="13.5" thickBot="1">
      <c r="F22" s="1021" t="s">
        <v>43</v>
      </c>
      <c r="G22" s="1022"/>
      <c r="H22" s="1268" t="s">
        <v>44</v>
      </c>
      <c r="I22" s="1269"/>
      <c r="J22" s="1269"/>
      <c r="K22" s="1269"/>
      <c r="L22" s="1269"/>
      <c r="M22" s="1269"/>
      <c r="N22" s="1269"/>
      <c r="O22" s="1269"/>
      <c r="P22" s="1269"/>
      <c r="Q22" s="1269"/>
    </row>
    <row r="23" spans="1:18" s="265" customFormat="1" ht="57.75" customHeight="1" thickBot="1">
      <c r="A23" s="188" t="s">
        <v>45</v>
      </c>
      <c r="B23" s="188" t="s">
        <v>46</v>
      </c>
      <c r="C23" s="189" t="s">
        <v>47</v>
      </c>
      <c r="D23" s="189" t="s">
        <v>48</v>
      </c>
      <c r="E23" s="189" t="s">
        <v>49</v>
      </c>
      <c r="F23" s="189" t="s">
        <v>50</v>
      </c>
      <c r="G23" s="188" t="s">
        <v>51</v>
      </c>
      <c r="H23" s="189" t="s">
        <v>53</v>
      </c>
      <c r="I23" s="188" t="s">
        <v>51</v>
      </c>
      <c r="J23" s="189" t="s">
        <v>54</v>
      </c>
      <c r="K23" s="188" t="s">
        <v>51</v>
      </c>
      <c r="L23" s="189" t="s">
        <v>55</v>
      </c>
      <c r="M23" s="188" t="s">
        <v>51</v>
      </c>
      <c r="N23" s="189" t="s">
        <v>847</v>
      </c>
      <c r="O23" s="188" t="s">
        <v>51</v>
      </c>
      <c r="P23" s="189" t="s">
        <v>848</v>
      </c>
      <c r="Q23" s="188" t="s">
        <v>51</v>
      </c>
    </row>
    <row r="24" spans="1:18" s="265" customFormat="1" ht="46.5" customHeight="1" thickBot="1">
      <c r="A24" s="1270">
        <v>40</v>
      </c>
      <c r="B24" s="1271"/>
      <c r="C24" s="192" t="s">
        <v>864</v>
      </c>
      <c r="D24" s="206" t="s">
        <v>862</v>
      </c>
      <c r="E24" s="194">
        <v>26853.38</v>
      </c>
      <c r="F24" s="510">
        <f>SUM(E24:E25)*(1-20%)</f>
        <v>21689.904000000002</v>
      </c>
      <c r="G24" s="1123">
        <f>F24*B24</f>
        <v>0</v>
      </c>
      <c r="H24" s="510">
        <f>F24*0.03137+I19/12</f>
        <v>876.07895514666677</v>
      </c>
      <c r="I24" s="1123">
        <f>H24*B24</f>
        <v>0</v>
      </c>
      <c r="J24" s="510">
        <f>F24*0.0274+I19/12</f>
        <v>789.97003626666674</v>
      </c>
      <c r="K24" s="1123">
        <f>J24*B24</f>
        <v>0</v>
      </c>
      <c r="L24" s="30">
        <f>F24*0.0228+I19/12</f>
        <v>690.19647786666678</v>
      </c>
      <c r="M24" s="1123">
        <f>L24*B24</f>
        <v>0</v>
      </c>
      <c r="N24" s="30">
        <f>F24*0.0204+I19/12</f>
        <v>638.14070826666671</v>
      </c>
      <c r="O24" s="1123">
        <f>N24*B24</f>
        <v>0</v>
      </c>
      <c r="P24" s="30">
        <f>F24*0.0185+I19/12</f>
        <v>596.92989066666667</v>
      </c>
      <c r="Q24" s="1123">
        <f>P24*B24</f>
        <v>0</v>
      </c>
    </row>
    <row r="25" spans="1:18" s="265" customFormat="1" ht="13.5" thickBot="1">
      <c r="A25" s="1270"/>
      <c r="B25" s="1271"/>
      <c r="C25" s="709" t="s">
        <v>424</v>
      </c>
      <c r="D25" s="199" t="s">
        <v>57</v>
      </c>
      <c r="E25" s="512">
        <v>259</v>
      </c>
      <c r="F25" s="710" t="s">
        <v>35</v>
      </c>
      <c r="G25" s="1272"/>
      <c r="H25" s="513" t="s">
        <v>35</v>
      </c>
      <c r="I25" s="1272"/>
      <c r="J25" s="513" t="s">
        <v>35</v>
      </c>
      <c r="K25" s="1272"/>
      <c r="L25" s="513" t="s">
        <v>35</v>
      </c>
      <c r="M25" s="1272"/>
      <c r="N25" s="513" t="s">
        <v>35</v>
      </c>
      <c r="O25" s="1272"/>
      <c r="P25" s="513" t="s">
        <v>35</v>
      </c>
      <c r="Q25" s="1124"/>
    </row>
    <row r="26" spans="1:18" s="198" customFormat="1" ht="15.75" customHeight="1" thickBot="1">
      <c r="A26" s="1273" t="s">
        <v>59</v>
      </c>
      <c r="B26" s="1274"/>
      <c r="C26" s="1251"/>
      <c r="D26" s="1251"/>
      <c r="E26" s="1251"/>
      <c r="F26" s="1251"/>
      <c r="G26" s="1251"/>
      <c r="H26" s="1251"/>
      <c r="I26" s="1251"/>
      <c r="J26" s="1251"/>
      <c r="K26" s="1251"/>
      <c r="L26" s="1251"/>
      <c r="M26" s="1251"/>
      <c r="N26" s="1251"/>
      <c r="O26" s="1251"/>
      <c r="P26" s="1251"/>
      <c r="Q26" s="1253"/>
    </row>
    <row r="27" spans="1:18" s="198" customFormat="1" ht="13.5" thickBot="1">
      <c r="A27" s="1006"/>
      <c r="B27" s="860"/>
      <c r="C27" s="861" t="s">
        <v>865</v>
      </c>
      <c r="D27" s="862" t="s">
        <v>866</v>
      </c>
      <c r="E27" s="863">
        <v>12881.443298969072</v>
      </c>
      <c r="F27" s="39">
        <f>E27*(1-20%)</f>
        <v>10305.154639175258</v>
      </c>
      <c r="G27" s="599">
        <f t="shared" ref="G27:G37" si="0">F27*B27</f>
        <v>0</v>
      </c>
      <c r="H27" s="39">
        <f t="shared" ref="H27:H37" si="1">F27*0.03137</f>
        <v>323.27270103092786</v>
      </c>
      <c r="I27" s="599">
        <f t="shared" ref="I27:I37" si="2">H27*B27</f>
        <v>0</v>
      </c>
      <c r="J27" s="39">
        <f t="shared" ref="J27:J37" si="3">F27*0.0274</f>
        <v>282.36123711340207</v>
      </c>
      <c r="K27" s="599">
        <f t="shared" ref="K27:K37" si="4">J27*B27</f>
        <v>0</v>
      </c>
      <c r="L27" s="39">
        <f t="shared" ref="L27:L37" si="5">F27*0.0228</f>
        <v>234.9575257731959</v>
      </c>
      <c r="M27" s="39">
        <f t="shared" ref="M27:M37" si="6">L27*B27</f>
        <v>0</v>
      </c>
      <c r="N27" s="39">
        <f t="shared" ref="N27:N37" si="7">F27*0.0204</f>
        <v>210.22515463917529</v>
      </c>
      <c r="O27" s="39">
        <f t="shared" ref="O27:O37" si="8">N27*B27</f>
        <v>0</v>
      </c>
      <c r="P27" s="39">
        <f>F27*0.0185</f>
        <v>190.64536082474226</v>
      </c>
      <c r="Q27" s="39">
        <f>P27*B27</f>
        <v>0</v>
      </c>
      <c r="R27" s="528"/>
    </row>
    <row r="28" spans="1:18" s="519" customFormat="1" ht="13.5" thickBot="1">
      <c r="A28" s="1172"/>
      <c r="B28" s="416"/>
      <c r="C28" s="864" t="s">
        <v>867</v>
      </c>
      <c r="D28" s="865" t="s">
        <v>868</v>
      </c>
      <c r="E28" s="866">
        <v>20097.938144329899</v>
      </c>
      <c r="F28" s="594">
        <f t="shared" ref="F28:F37" si="9">E28*(1-20%)</f>
        <v>16078.350515463921</v>
      </c>
      <c r="G28" s="41">
        <f>F28*B28</f>
        <v>0</v>
      </c>
      <c r="H28" s="39">
        <f t="shared" si="1"/>
        <v>504.3778556701032</v>
      </c>
      <c r="I28" s="40">
        <f>H28*B28</f>
        <v>0</v>
      </c>
      <c r="J28" s="39">
        <f t="shared" si="3"/>
        <v>440.54680412371141</v>
      </c>
      <c r="K28" s="40">
        <f>J28*B28</f>
        <v>0</v>
      </c>
      <c r="L28" s="39">
        <f t="shared" si="5"/>
        <v>366.58639175257741</v>
      </c>
      <c r="M28" s="39">
        <f>L28*B28</f>
        <v>0</v>
      </c>
      <c r="N28" s="39">
        <f t="shared" si="7"/>
        <v>327.99835051546398</v>
      </c>
      <c r="O28" s="39">
        <f>N28*B28</f>
        <v>0</v>
      </c>
      <c r="P28" s="39">
        <f t="shared" ref="P28:P37" si="10">F28*0.0185</f>
        <v>297.44948453608254</v>
      </c>
      <c r="Q28" s="39">
        <f t="shared" ref="Q28:Q37" si="11">P28*B28</f>
        <v>0</v>
      </c>
      <c r="R28" s="528"/>
    </row>
    <row r="29" spans="1:18" s="291" customFormat="1" ht="13.5" thickBot="1">
      <c r="A29" s="1172"/>
      <c r="B29" s="416"/>
      <c r="C29" s="864" t="s">
        <v>869</v>
      </c>
      <c r="D29" s="865" t="s">
        <v>870</v>
      </c>
      <c r="E29" s="866">
        <v>1546.3917525773197</v>
      </c>
      <c r="F29" s="594">
        <f t="shared" si="9"/>
        <v>1237.1134020618558</v>
      </c>
      <c r="G29" s="41">
        <f t="shared" si="0"/>
        <v>0</v>
      </c>
      <c r="H29" s="39">
        <f t="shared" si="1"/>
        <v>38.808247422680417</v>
      </c>
      <c r="I29" s="40">
        <f t="shared" si="2"/>
        <v>0</v>
      </c>
      <c r="J29" s="39">
        <f t="shared" si="3"/>
        <v>33.896907216494853</v>
      </c>
      <c r="K29" s="40">
        <f t="shared" si="4"/>
        <v>0</v>
      </c>
      <c r="L29" s="39">
        <f t="shared" si="5"/>
        <v>28.206185567010312</v>
      </c>
      <c r="M29" s="39">
        <f t="shared" si="6"/>
        <v>0</v>
      </c>
      <c r="N29" s="39">
        <f t="shared" si="7"/>
        <v>25.237113402061862</v>
      </c>
      <c r="O29" s="39">
        <f t="shared" si="8"/>
        <v>0</v>
      </c>
      <c r="P29" s="39">
        <f t="shared" si="10"/>
        <v>22.88659793814433</v>
      </c>
      <c r="Q29" s="39">
        <f t="shared" si="11"/>
        <v>0</v>
      </c>
      <c r="R29" s="528"/>
    </row>
    <row r="30" spans="1:18" s="291" customFormat="1" ht="13.5" thickBot="1">
      <c r="A30" s="1172"/>
      <c r="B30" s="416"/>
      <c r="C30" s="864" t="s">
        <v>871</v>
      </c>
      <c r="D30" s="865" t="s">
        <v>872</v>
      </c>
      <c r="E30" s="866">
        <v>1443.2989690721649</v>
      </c>
      <c r="F30" s="594">
        <f t="shared" si="9"/>
        <v>1154.6391752577319</v>
      </c>
      <c r="G30" s="41">
        <f t="shared" si="0"/>
        <v>0</v>
      </c>
      <c r="H30" s="39">
        <f t="shared" si="1"/>
        <v>36.221030927835052</v>
      </c>
      <c r="I30" s="40">
        <f t="shared" si="2"/>
        <v>0</v>
      </c>
      <c r="J30" s="39">
        <f t="shared" si="3"/>
        <v>31.637113402061857</v>
      </c>
      <c r="K30" s="40">
        <f t="shared" si="4"/>
        <v>0</v>
      </c>
      <c r="L30" s="39">
        <f t="shared" si="5"/>
        <v>26.325773195876291</v>
      </c>
      <c r="M30" s="39">
        <f t="shared" si="6"/>
        <v>0</v>
      </c>
      <c r="N30" s="39">
        <f t="shared" si="7"/>
        <v>23.554639175257734</v>
      </c>
      <c r="O30" s="39">
        <f t="shared" si="8"/>
        <v>0</v>
      </c>
      <c r="P30" s="39">
        <f t="shared" si="10"/>
        <v>21.36082474226804</v>
      </c>
      <c r="Q30" s="39">
        <f t="shared" si="11"/>
        <v>0</v>
      </c>
      <c r="R30" s="528"/>
    </row>
    <row r="31" spans="1:18" s="291" customFormat="1" ht="12.6" customHeight="1" thickBot="1">
      <c r="A31" s="1172"/>
      <c r="B31" s="416"/>
      <c r="C31" s="864" t="s">
        <v>873</v>
      </c>
      <c r="D31" s="865" t="s">
        <v>874</v>
      </c>
      <c r="E31" s="866">
        <v>1443.2989690721649</v>
      </c>
      <c r="F31" s="594">
        <f t="shared" si="9"/>
        <v>1154.6391752577319</v>
      </c>
      <c r="G31" s="41">
        <f t="shared" si="0"/>
        <v>0</v>
      </c>
      <c r="H31" s="39">
        <f t="shared" si="1"/>
        <v>36.221030927835052</v>
      </c>
      <c r="I31" s="40">
        <f t="shared" si="2"/>
        <v>0</v>
      </c>
      <c r="J31" s="39">
        <f t="shared" si="3"/>
        <v>31.637113402061857</v>
      </c>
      <c r="K31" s="40">
        <f t="shared" si="4"/>
        <v>0</v>
      </c>
      <c r="L31" s="39">
        <f t="shared" si="5"/>
        <v>26.325773195876291</v>
      </c>
      <c r="M31" s="39">
        <f t="shared" si="6"/>
        <v>0</v>
      </c>
      <c r="N31" s="39">
        <f t="shared" si="7"/>
        <v>23.554639175257734</v>
      </c>
      <c r="O31" s="39">
        <f t="shared" si="8"/>
        <v>0</v>
      </c>
      <c r="P31" s="39">
        <f t="shared" si="10"/>
        <v>21.36082474226804</v>
      </c>
      <c r="Q31" s="39">
        <f t="shared" si="11"/>
        <v>0</v>
      </c>
      <c r="R31" s="528"/>
    </row>
    <row r="32" spans="1:18" s="519" customFormat="1" ht="26.25" thickBot="1">
      <c r="A32" s="1172"/>
      <c r="B32" s="416"/>
      <c r="C32" s="864" t="s">
        <v>875</v>
      </c>
      <c r="D32" s="865" t="s">
        <v>876</v>
      </c>
      <c r="E32" s="866">
        <v>1237.1134020618556</v>
      </c>
      <c r="F32" s="594">
        <f>E32*(1-20%)</f>
        <v>989.69072164948454</v>
      </c>
      <c r="G32" s="41">
        <f>F32*B32</f>
        <v>0</v>
      </c>
      <c r="H32" s="39">
        <f t="shared" si="1"/>
        <v>31.04659793814433</v>
      </c>
      <c r="I32" s="40">
        <f>H32*B32</f>
        <v>0</v>
      </c>
      <c r="J32" s="39">
        <f t="shared" si="3"/>
        <v>27.117525773195876</v>
      </c>
      <c r="K32" s="40">
        <f>J32*B32</f>
        <v>0</v>
      </c>
      <c r="L32" s="39">
        <f t="shared" si="5"/>
        <v>22.564948453608249</v>
      </c>
      <c r="M32" s="39">
        <f>L32*B32</f>
        <v>0</v>
      </c>
      <c r="N32" s="39">
        <f t="shared" si="7"/>
        <v>20.189690721649487</v>
      </c>
      <c r="O32" s="39">
        <f>N32*B32</f>
        <v>0</v>
      </c>
      <c r="P32" s="39">
        <f>F32*0.0185</f>
        <v>18.309278350515463</v>
      </c>
      <c r="Q32" s="39">
        <f>P32*B32</f>
        <v>0</v>
      </c>
      <c r="R32" s="528"/>
    </row>
    <row r="33" spans="1:18" s="291" customFormat="1" ht="26.25" thickBot="1">
      <c r="A33" s="1172"/>
      <c r="B33" s="416"/>
      <c r="C33" s="864" t="s">
        <v>877</v>
      </c>
      <c r="D33" s="865" t="s">
        <v>878</v>
      </c>
      <c r="E33" s="866">
        <v>1237.1134020618556</v>
      </c>
      <c r="F33" s="594">
        <f>E33*(1-20%)</f>
        <v>989.69072164948454</v>
      </c>
      <c r="G33" s="41">
        <f>F33*B33</f>
        <v>0</v>
      </c>
      <c r="H33" s="39">
        <f t="shared" si="1"/>
        <v>31.04659793814433</v>
      </c>
      <c r="I33" s="40">
        <f>H33*B33</f>
        <v>0</v>
      </c>
      <c r="J33" s="39">
        <f t="shared" si="3"/>
        <v>27.117525773195876</v>
      </c>
      <c r="K33" s="40">
        <f>J33*B33</f>
        <v>0</v>
      </c>
      <c r="L33" s="39">
        <f t="shared" si="5"/>
        <v>22.564948453608249</v>
      </c>
      <c r="M33" s="39">
        <f>L33*B33</f>
        <v>0</v>
      </c>
      <c r="N33" s="39">
        <f t="shared" si="7"/>
        <v>20.189690721649487</v>
      </c>
      <c r="O33" s="39">
        <f>N33*B33</f>
        <v>0</v>
      </c>
      <c r="P33" s="39">
        <f>F33*0.0185</f>
        <v>18.309278350515463</v>
      </c>
      <c r="Q33" s="39">
        <f>P33*B33</f>
        <v>0</v>
      </c>
      <c r="R33" s="528"/>
    </row>
    <row r="34" spans="1:18" s="291" customFormat="1" ht="13.5" thickBot="1">
      <c r="A34" s="1172"/>
      <c r="B34" s="416"/>
      <c r="C34" s="864" t="s">
        <v>879</v>
      </c>
      <c r="D34" s="865" t="s">
        <v>880</v>
      </c>
      <c r="E34" s="866">
        <v>1025.7731958762886</v>
      </c>
      <c r="F34" s="594">
        <f>E34*(1-20%)</f>
        <v>820.61855670103091</v>
      </c>
      <c r="G34" s="41">
        <f>F34*B34</f>
        <v>0</v>
      </c>
      <c r="H34" s="39">
        <f t="shared" si="1"/>
        <v>25.742804123711341</v>
      </c>
      <c r="I34" s="40">
        <f>H34*B34</f>
        <v>0</v>
      </c>
      <c r="J34" s="39">
        <f t="shared" si="3"/>
        <v>22.484948453608247</v>
      </c>
      <c r="K34" s="40">
        <f>J34*B34</f>
        <v>0</v>
      </c>
      <c r="L34" s="39">
        <f t="shared" si="5"/>
        <v>18.710103092783505</v>
      </c>
      <c r="M34" s="39">
        <f>L34*B34</f>
        <v>0</v>
      </c>
      <c r="N34" s="39">
        <f t="shared" si="7"/>
        <v>16.740618556701033</v>
      </c>
      <c r="O34" s="39">
        <f>N34*B34</f>
        <v>0</v>
      </c>
      <c r="P34" s="39">
        <f>F34*0.0185</f>
        <v>15.181443298969072</v>
      </c>
      <c r="Q34" s="39">
        <f>P34*B34</f>
        <v>0</v>
      </c>
      <c r="R34" s="528"/>
    </row>
    <row r="35" spans="1:18" s="291" customFormat="1" ht="12.6" customHeight="1" thickBot="1">
      <c r="A35" s="1172"/>
      <c r="B35" s="416"/>
      <c r="C35" s="864" t="s">
        <v>881</v>
      </c>
      <c r="D35" s="865" t="s">
        <v>882</v>
      </c>
      <c r="E35" s="866">
        <v>1025.7731958762886</v>
      </c>
      <c r="F35" s="594">
        <f>E35*(1-20%)</f>
        <v>820.61855670103091</v>
      </c>
      <c r="G35" s="41">
        <f>F35*B35</f>
        <v>0</v>
      </c>
      <c r="H35" s="39">
        <f t="shared" si="1"/>
        <v>25.742804123711341</v>
      </c>
      <c r="I35" s="40">
        <f>H35*B35</f>
        <v>0</v>
      </c>
      <c r="J35" s="39">
        <f t="shared" si="3"/>
        <v>22.484948453608247</v>
      </c>
      <c r="K35" s="40">
        <f>J35*B35</f>
        <v>0</v>
      </c>
      <c r="L35" s="39">
        <f t="shared" si="5"/>
        <v>18.710103092783505</v>
      </c>
      <c r="M35" s="39">
        <f>L35*B35</f>
        <v>0</v>
      </c>
      <c r="N35" s="39">
        <f t="shared" si="7"/>
        <v>16.740618556701033</v>
      </c>
      <c r="O35" s="39">
        <f>N35*B35</f>
        <v>0</v>
      </c>
      <c r="P35" s="39">
        <f>F35*0.0185</f>
        <v>15.181443298969072</v>
      </c>
      <c r="Q35" s="39">
        <f>P35*B35</f>
        <v>0</v>
      </c>
      <c r="R35" s="198"/>
    </row>
    <row r="36" spans="1:18" s="291" customFormat="1" ht="13.5" thickBot="1">
      <c r="A36" s="1172"/>
      <c r="B36" s="416"/>
      <c r="C36" s="864" t="s">
        <v>883</v>
      </c>
      <c r="D36" s="865" t="s">
        <v>884</v>
      </c>
      <c r="E36" s="866">
        <v>1025.7731958762886</v>
      </c>
      <c r="F36" s="594">
        <f t="shared" si="9"/>
        <v>820.61855670103091</v>
      </c>
      <c r="G36" s="41">
        <f t="shared" si="0"/>
        <v>0</v>
      </c>
      <c r="H36" s="39">
        <f t="shared" si="1"/>
        <v>25.742804123711341</v>
      </c>
      <c r="I36" s="40">
        <f t="shared" si="2"/>
        <v>0</v>
      </c>
      <c r="J36" s="39">
        <f t="shared" si="3"/>
        <v>22.484948453608247</v>
      </c>
      <c r="K36" s="40">
        <f t="shared" si="4"/>
        <v>0</v>
      </c>
      <c r="L36" s="39">
        <f t="shared" si="5"/>
        <v>18.710103092783505</v>
      </c>
      <c r="M36" s="39">
        <f t="shared" si="6"/>
        <v>0</v>
      </c>
      <c r="N36" s="39">
        <f t="shared" si="7"/>
        <v>16.740618556701033</v>
      </c>
      <c r="O36" s="39">
        <f t="shared" si="8"/>
        <v>0</v>
      </c>
      <c r="P36" s="39">
        <f t="shared" si="10"/>
        <v>15.181443298969072</v>
      </c>
      <c r="Q36" s="39">
        <f t="shared" si="11"/>
        <v>0</v>
      </c>
      <c r="R36" s="528"/>
    </row>
    <row r="37" spans="1:18" s="291" customFormat="1" ht="13.5" thickBot="1">
      <c r="A37" s="1173"/>
      <c r="B37" s="416"/>
      <c r="C37" s="864" t="s">
        <v>885</v>
      </c>
      <c r="D37" s="865" t="s">
        <v>886</v>
      </c>
      <c r="E37" s="866">
        <v>1025.7731958762886</v>
      </c>
      <c r="F37" s="594">
        <f t="shared" si="9"/>
        <v>820.61855670103091</v>
      </c>
      <c r="G37" s="41">
        <f t="shared" si="0"/>
        <v>0</v>
      </c>
      <c r="H37" s="39">
        <f t="shared" si="1"/>
        <v>25.742804123711341</v>
      </c>
      <c r="I37" s="40">
        <f t="shared" si="2"/>
        <v>0</v>
      </c>
      <c r="J37" s="39">
        <f t="shared" si="3"/>
        <v>22.484948453608247</v>
      </c>
      <c r="K37" s="40">
        <f t="shared" si="4"/>
        <v>0</v>
      </c>
      <c r="L37" s="39">
        <f t="shared" si="5"/>
        <v>18.710103092783505</v>
      </c>
      <c r="M37" s="39">
        <f t="shared" si="6"/>
        <v>0</v>
      </c>
      <c r="N37" s="39">
        <f t="shared" si="7"/>
        <v>16.740618556701033</v>
      </c>
      <c r="O37" s="39">
        <f t="shared" si="8"/>
        <v>0</v>
      </c>
      <c r="P37" s="39">
        <f t="shared" si="10"/>
        <v>15.181443298969072</v>
      </c>
      <c r="Q37" s="39">
        <f t="shared" si="11"/>
        <v>0</v>
      </c>
      <c r="R37" s="528"/>
    </row>
    <row r="38" spans="1:18" s="291" customFormat="1" ht="15">
      <c r="A38" s="519"/>
      <c r="B38" s="258"/>
      <c r="C38" s="258"/>
      <c r="D38" s="1008" t="s">
        <v>65</v>
      </c>
      <c r="E38" s="1088"/>
      <c r="F38" s="1261"/>
      <c r="G38" s="520">
        <f>SUM(G27:G37)+G24</f>
        <v>0</v>
      </c>
      <c r="H38" s="867" t="s">
        <v>67</v>
      </c>
      <c r="I38" s="520">
        <f>SUM(I27:I37)+I24</f>
        <v>0</v>
      </c>
      <c r="J38" s="867" t="s">
        <v>68</v>
      </c>
      <c r="K38" s="520">
        <f>SUM(K27:K37)+K24</f>
        <v>0</v>
      </c>
      <c r="L38" s="867" t="s">
        <v>69</v>
      </c>
      <c r="M38" s="520">
        <f>SUM(M27:M37)+M24</f>
        <v>0</v>
      </c>
      <c r="N38" s="867" t="s">
        <v>860</v>
      </c>
      <c r="O38" s="520">
        <f>SUM(O27:O37)+O24</f>
        <v>0</v>
      </c>
      <c r="P38" s="867" t="s">
        <v>861</v>
      </c>
      <c r="Q38" s="520">
        <f>SUM(Q27:Q37)+Q24</f>
        <v>0</v>
      </c>
    </row>
    <row r="39" spans="1:18" s="291" customFormat="1">
      <c r="A39" s="315"/>
      <c r="B39" s="256"/>
      <c r="C39" s="256"/>
      <c r="D39" s="315"/>
      <c r="E39" s="315"/>
      <c r="F39" s="868"/>
      <c r="G39" s="868"/>
      <c r="H39" s="869"/>
      <c r="I39" s="869"/>
      <c r="J39" s="869"/>
      <c r="K39" s="869"/>
      <c r="L39" s="872">
        <f>F39*0.0256</f>
        <v>0</v>
      </c>
      <c r="M39" s="869"/>
      <c r="N39" s="869"/>
      <c r="O39" s="869"/>
      <c r="P39" s="869"/>
      <c r="Q39" s="869"/>
    </row>
    <row r="40" spans="1:18" s="291" customFormat="1" ht="15.75">
      <c r="A40" s="256"/>
      <c r="B40" s="521"/>
      <c r="C40" s="521"/>
      <c r="D40" s="522"/>
      <c r="E40" s="522"/>
      <c r="F40" s="870"/>
      <c r="G40" s="831"/>
      <c r="H40" s="271"/>
      <c r="I40" s="271"/>
      <c r="J40" s="271"/>
      <c r="K40" s="271"/>
      <c r="L40" s="271"/>
      <c r="M40" s="271"/>
      <c r="N40" s="271"/>
      <c r="O40" s="271"/>
      <c r="P40" s="271"/>
      <c r="Q40" s="271"/>
    </row>
    <row r="41" spans="1:18" s="519" customFormat="1">
      <c r="A41" s="256"/>
      <c r="B41" s="256"/>
      <c r="C41" s="256"/>
      <c r="D41" s="256"/>
      <c r="E41" s="256"/>
      <c r="F41" s="870"/>
      <c r="G41" s="831"/>
      <c r="H41" s="271"/>
      <c r="I41" s="271"/>
      <c r="J41" s="271"/>
      <c r="K41" s="271"/>
      <c r="L41" s="271"/>
      <c r="M41" s="271"/>
      <c r="N41" s="271"/>
      <c r="O41" s="271"/>
      <c r="P41" s="271"/>
      <c r="Q41" s="271"/>
    </row>
    <row r="42" spans="1:18" s="519" customFormat="1">
      <c r="A42" s="256"/>
      <c r="B42" s="256"/>
      <c r="C42" s="256"/>
      <c r="D42" s="256"/>
      <c r="E42" s="256"/>
      <c r="F42" s="831"/>
      <c r="G42" s="831"/>
      <c r="H42" s="271"/>
      <c r="I42" s="271"/>
      <c r="J42" s="271"/>
      <c r="K42" s="271"/>
      <c r="L42" s="271"/>
      <c r="M42" s="271"/>
      <c r="N42" s="271"/>
      <c r="O42" s="271"/>
      <c r="P42" s="271"/>
      <c r="Q42" s="271"/>
    </row>
    <row r="43" spans="1:18" s="524" customFormat="1" hidden="1">
      <c r="A43" s="256"/>
      <c r="B43" s="256"/>
      <c r="C43" s="256"/>
      <c r="D43" s="256"/>
      <c r="E43" s="256"/>
      <c r="F43" s="831"/>
      <c r="G43" s="831"/>
      <c r="H43" s="271"/>
      <c r="I43" s="271"/>
      <c r="J43" s="271"/>
      <c r="K43" s="271"/>
      <c r="L43" s="271"/>
      <c r="M43" s="271"/>
      <c r="N43" s="271"/>
      <c r="O43" s="271"/>
      <c r="P43" s="271"/>
      <c r="Q43" s="271"/>
    </row>
    <row r="44" spans="1:18" s="519" customFormat="1">
      <c r="A44" s="256"/>
      <c r="B44" s="256"/>
      <c r="C44" s="256"/>
      <c r="D44" s="256"/>
      <c r="E44" s="256"/>
      <c r="F44" s="333"/>
      <c r="G44" s="831"/>
      <c r="H44" s="256"/>
      <c r="I44" s="271"/>
      <c r="J44" s="256"/>
      <c r="K44" s="271"/>
      <c r="L44" s="256"/>
      <c r="M44" s="271"/>
      <c r="N44" s="256"/>
      <c r="O44" s="271"/>
      <c r="P44" s="256"/>
      <c r="Q44" s="271"/>
    </row>
    <row r="45" spans="1:18" s="315" customFormat="1">
      <c r="A45" s="256"/>
      <c r="B45" s="256"/>
      <c r="C45" s="256"/>
      <c r="D45" s="256"/>
      <c r="E45" s="256"/>
      <c r="F45" s="333"/>
      <c r="G45" s="333"/>
      <c r="H45" s="256"/>
      <c r="I45" s="256"/>
      <c r="J45" s="256"/>
      <c r="K45" s="256"/>
      <c r="L45" s="256"/>
      <c r="M45" s="256"/>
      <c r="N45" s="256"/>
      <c r="O45" s="256"/>
      <c r="P45" s="256"/>
      <c r="Q45" s="256"/>
    </row>
    <row r="58" spans="2:3">
      <c r="B58" s="258"/>
      <c r="C58" s="258"/>
    </row>
  </sheetData>
  <mergeCells count="22">
    <mergeCell ref="A18:Q18"/>
    <mergeCell ref="A4:O4"/>
    <mergeCell ref="A5:O5"/>
    <mergeCell ref="H8:J8"/>
    <mergeCell ref="D14:D15"/>
    <mergeCell ref="A17:Q17"/>
    <mergeCell ref="D38:F38"/>
    <mergeCell ref="A19:H19"/>
    <mergeCell ref="I19:Q19"/>
    <mergeCell ref="A20:Q20"/>
    <mergeCell ref="F22:G22"/>
    <mergeCell ref="H22:Q22"/>
    <mergeCell ref="A24:A25"/>
    <mergeCell ref="B24:B25"/>
    <mergeCell ref="G24:G25"/>
    <mergeCell ref="I24:I25"/>
    <mergeCell ref="K24:K25"/>
    <mergeCell ref="M24:M25"/>
    <mergeCell ref="O24:O25"/>
    <mergeCell ref="Q24:Q25"/>
    <mergeCell ref="A26:Q26"/>
    <mergeCell ref="A27:A37"/>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6092-CEE1-43C7-84DC-7853DB76AC5E}">
  <sheetPr>
    <tabColor indexed="44"/>
  </sheetPr>
  <dimension ref="A1:R44"/>
  <sheetViews>
    <sheetView tabSelected="1" topLeftCell="A4" zoomScale="80" zoomScaleNormal="80" workbookViewId="0">
      <selection activeCell="A10" sqref="A10"/>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1.8554687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887</v>
      </c>
      <c r="B4" s="1020"/>
      <c r="C4" s="1020"/>
      <c r="D4" s="1020"/>
      <c r="E4" s="1020"/>
      <c r="F4" s="1020"/>
      <c r="G4" s="1020"/>
      <c r="H4" s="1020"/>
      <c r="I4" s="1020"/>
      <c r="J4" s="1020"/>
      <c r="K4" s="1020"/>
      <c r="L4" s="1020"/>
      <c r="M4" s="1020"/>
      <c r="N4" s="1020"/>
      <c r="O4" s="1020"/>
    </row>
    <row r="5" spans="1:18" s="266" customFormat="1" ht="41.25" customHeight="1">
      <c r="A5" s="1188" t="s">
        <v>4078</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D8" s="277"/>
      <c r="E8" s="277"/>
      <c r="H8" s="270"/>
    </row>
    <row r="9" spans="1:18" s="265" customFormat="1">
      <c r="F9" s="446"/>
      <c r="G9" s="446"/>
      <c r="H9" s="270"/>
    </row>
    <row r="10" spans="1:18" s="265" customFormat="1">
      <c r="F10" s="446"/>
      <c r="G10" s="446"/>
      <c r="H10" s="270"/>
      <c r="J10" s="282"/>
      <c r="L10" s="282"/>
    </row>
    <row r="11" spans="1:18" s="265" customFormat="1" ht="12" customHeight="1">
      <c r="F11" s="446"/>
      <c r="G11" s="446"/>
      <c r="H11" s="270"/>
      <c r="I11" s="282"/>
      <c r="J11" s="282"/>
      <c r="L11" s="282"/>
    </row>
    <row r="12" spans="1:18" s="265" customFormat="1" ht="18.75" thickBot="1">
      <c r="A12" s="1263" t="s">
        <v>30</v>
      </c>
      <c r="B12" s="1230"/>
      <c r="C12" s="1230"/>
      <c r="D12" s="1230"/>
      <c r="E12" s="1230"/>
      <c r="F12" s="1230"/>
      <c r="G12" s="1230"/>
      <c r="H12" s="1230"/>
      <c r="I12" s="1230"/>
      <c r="J12" s="1230"/>
      <c r="K12" s="1230"/>
      <c r="L12" s="1230"/>
      <c r="M12" s="1230"/>
      <c r="N12" s="1230"/>
      <c r="O12" s="1230"/>
      <c r="P12" s="1230"/>
      <c r="Q12" s="1230"/>
    </row>
    <row r="13" spans="1:18" s="265" customFormat="1" ht="18" customHeight="1">
      <c r="A13" s="1264" t="s">
        <v>888</v>
      </c>
      <c r="B13" s="1265"/>
      <c r="C13" s="1265"/>
      <c r="D13" s="1265"/>
      <c r="E13" s="1265"/>
      <c r="F13" s="1265"/>
      <c r="G13" s="1265"/>
      <c r="H13" s="1265"/>
      <c r="I13" s="1265"/>
      <c r="J13" s="1265"/>
      <c r="K13" s="1265"/>
      <c r="L13" s="1265"/>
      <c r="M13" s="1265"/>
      <c r="N13" s="1265"/>
      <c r="O13" s="1265"/>
      <c r="P13" s="1265"/>
      <c r="Q13" s="1266"/>
    </row>
    <row r="14" spans="1:18" s="265" customFormat="1" ht="18" customHeight="1">
      <c r="A14" s="1219" t="s">
        <v>845</v>
      </c>
      <c r="B14" s="1220"/>
      <c r="C14" s="1220"/>
      <c r="D14" s="1220"/>
      <c r="E14" s="1220"/>
      <c r="F14" s="1220"/>
      <c r="G14" s="1220"/>
      <c r="H14" s="1220"/>
      <c r="I14" s="1255">
        <v>2700</v>
      </c>
      <c r="J14" s="1255"/>
      <c r="K14" s="1255"/>
      <c r="L14" s="1255"/>
      <c r="M14" s="1255"/>
      <c r="N14" s="1255"/>
      <c r="O14" s="1255"/>
      <c r="P14" s="1255"/>
      <c r="Q14" s="1267"/>
    </row>
    <row r="15" spans="1:18" s="265" customFormat="1" ht="18" customHeight="1" thickBot="1">
      <c r="A15" s="1221" t="s">
        <v>846</v>
      </c>
      <c r="B15" s="1222"/>
      <c r="C15" s="1222"/>
      <c r="D15" s="1222"/>
      <c r="E15" s="1222"/>
      <c r="F15" s="1222"/>
      <c r="G15" s="1222"/>
      <c r="H15" s="1222"/>
      <c r="I15" s="1222"/>
      <c r="J15" s="1222"/>
      <c r="K15" s="1222"/>
      <c r="L15" s="1222"/>
      <c r="M15" s="1222"/>
      <c r="N15" s="1222"/>
      <c r="O15" s="1222"/>
      <c r="P15" s="1222"/>
      <c r="Q15" s="1223"/>
    </row>
    <row r="16" spans="1:18" s="265" customFormat="1" ht="15" thickBot="1">
      <c r="D16" s="277"/>
      <c r="E16" s="277"/>
      <c r="F16" s="283"/>
      <c r="G16" s="283"/>
      <c r="I16" s="288"/>
      <c r="J16" s="288"/>
      <c r="K16" s="288"/>
      <c r="L16" s="288"/>
    </row>
    <row r="17" spans="1:18" s="265" customFormat="1" ht="13.5" thickBot="1">
      <c r="F17" s="1021" t="s">
        <v>43</v>
      </c>
      <c r="G17" s="1022"/>
      <c r="H17" s="1268" t="s">
        <v>44</v>
      </c>
      <c r="I17" s="1269"/>
      <c r="J17" s="1269"/>
      <c r="K17" s="1269"/>
      <c r="L17" s="1269"/>
      <c r="M17" s="1269"/>
      <c r="N17" s="1269"/>
      <c r="O17" s="1269"/>
      <c r="P17" s="1269"/>
      <c r="Q17" s="1269"/>
    </row>
    <row r="18" spans="1:18" s="265" customFormat="1" ht="57.75" customHeight="1" thickBot="1">
      <c r="A18" s="188" t="s">
        <v>45</v>
      </c>
      <c r="B18" s="188" t="s">
        <v>46</v>
      </c>
      <c r="C18" s="189" t="s">
        <v>47</v>
      </c>
      <c r="D18" s="189" t="s">
        <v>48</v>
      </c>
      <c r="E18" s="189" t="s">
        <v>49</v>
      </c>
      <c r="F18" s="189" t="s">
        <v>50</v>
      </c>
      <c r="G18" s="188" t="s">
        <v>51</v>
      </c>
      <c r="H18" s="189" t="s">
        <v>53</v>
      </c>
      <c r="I18" s="188" t="s">
        <v>51</v>
      </c>
      <c r="J18" s="189" t="s">
        <v>54</v>
      </c>
      <c r="K18" s="188" t="s">
        <v>51</v>
      </c>
      <c r="L18" s="189" t="s">
        <v>55</v>
      </c>
      <c r="M18" s="188" t="s">
        <v>51</v>
      </c>
      <c r="N18" s="189" t="s">
        <v>847</v>
      </c>
      <c r="O18" s="188" t="s">
        <v>51</v>
      </c>
      <c r="P18" s="189" t="s">
        <v>848</v>
      </c>
      <c r="Q18" s="188" t="s">
        <v>51</v>
      </c>
    </row>
    <row r="19" spans="1:18" s="265" customFormat="1" ht="46.5" customHeight="1" thickBot="1">
      <c r="A19" s="428">
        <v>41</v>
      </c>
      <c r="B19" s="191"/>
      <c r="C19" s="936" t="s">
        <v>889</v>
      </c>
      <c r="D19" s="206" t="s">
        <v>4074</v>
      </c>
      <c r="E19" s="194">
        <v>35100</v>
      </c>
      <c r="F19" s="510">
        <f>SUM(E19:E19)*(1-22%)</f>
        <v>27378</v>
      </c>
      <c r="G19" s="30">
        <f>F19*B19</f>
        <v>0</v>
      </c>
      <c r="H19" s="510">
        <f>F19*0.03137+I14/12</f>
        <v>1083.8478600000001</v>
      </c>
      <c r="I19" s="30">
        <f>H19*B19</f>
        <v>0</v>
      </c>
      <c r="J19" s="510">
        <f>F19*0.0274+I14/12</f>
        <v>975.15719999999999</v>
      </c>
      <c r="K19" s="30">
        <f>J19*B19</f>
        <v>0</v>
      </c>
      <c r="L19" s="30">
        <f>F19*0.0228+I14/12</f>
        <v>849.21839999999997</v>
      </c>
      <c r="M19" s="30">
        <f>L19*B19</f>
        <v>0</v>
      </c>
      <c r="N19" s="30">
        <f>F19*0.0204+I14/12</f>
        <v>783.51120000000003</v>
      </c>
      <c r="O19" s="30">
        <f>N19*B19</f>
        <v>0</v>
      </c>
      <c r="P19" s="30">
        <f>F19*0.0185+I14/12</f>
        <v>731.49299999999994</v>
      </c>
      <c r="Q19" s="30">
        <f>P19*B19</f>
        <v>0</v>
      </c>
    </row>
    <row r="20" spans="1:18" s="198" customFormat="1" ht="15.75" customHeight="1" thickBot="1">
      <c r="A20" s="1250" t="s">
        <v>59</v>
      </c>
      <c r="B20" s="1251"/>
      <c r="C20" s="1251"/>
      <c r="D20" s="1251"/>
      <c r="E20" s="1251"/>
      <c r="F20" s="1251"/>
      <c r="G20" s="1251"/>
      <c r="H20" s="1251"/>
      <c r="I20" s="1251"/>
      <c r="J20" s="1251"/>
      <c r="K20" s="1251"/>
      <c r="L20" s="1251"/>
      <c r="M20" s="1251"/>
      <c r="N20" s="1251"/>
      <c r="O20" s="1251"/>
      <c r="P20" s="1251"/>
      <c r="Q20" s="1253"/>
    </row>
    <row r="21" spans="1:18" s="198" customFormat="1" ht="13.5" thickBot="1">
      <c r="A21" s="1006"/>
      <c r="B21" s="860"/>
      <c r="C21" s="935" t="s">
        <v>890</v>
      </c>
      <c r="D21" s="862" t="s">
        <v>4075</v>
      </c>
      <c r="E21" s="863">
        <v>1254</v>
      </c>
      <c r="F21" s="39">
        <f>E21*(1-20%)</f>
        <v>1003.2</v>
      </c>
      <c r="G21" s="599">
        <f>F21*B21</f>
        <v>0</v>
      </c>
      <c r="H21" s="39">
        <f>F21*0.03137</f>
        <v>31.470384000000003</v>
      </c>
      <c r="I21" s="599">
        <f>H21*B21</f>
        <v>0</v>
      </c>
      <c r="J21" s="39">
        <f>F21*0.0274</f>
        <v>27.487680000000001</v>
      </c>
      <c r="K21" s="599">
        <f>J21*B21</f>
        <v>0</v>
      </c>
      <c r="L21" s="39">
        <f>F21*0.0228</f>
        <v>22.872960000000003</v>
      </c>
      <c r="M21" s="39">
        <f>L21*B21</f>
        <v>0</v>
      </c>
      <c r="N21" s="39">
        <f>F21*0.0204</f>
        <v>20.465280000000003</v>
      </c>
      <c r="O21" s="39">
        <f>N21*B21</f>
        <v>0</v>
      </c>
      <c r="P21" s="39">
        <f>F21*0.0185</f>
        <v>18.559200000000001</v>
      </c>
      <c r="Q21" s="39">
        <f>P21*B21</f>
        <v>0</v>
      </c>
      <c r="R21" s="528"/>
    </row>
    <row r="22" spans="1:18" s="198" customFormat="1" ht="13.5" thickBot="1">
      <c r="A22" s="1006"/>
      <c r="B22" s="873"/>
      <c r="C22" s="709" t="s">
        <v>853</v>
      </c>
      <c r="D22" s="199" t="s">
        <v>854</v>
      </c>
      <c r="E22" s="512">
        <v>2700</v>
      </c>
      <c r="F22" s="594">
        <f>E22*(1-20%)</f>
        <v>2160</v>
      </c>
      <c r="G22" s="599">
        <f>F22*B22</f>
        <v>0</v>
      </c>
      <c r="H22" s="39">
        <f>F22*0.03137</f>
        <v>67.759200000000007</v>
      </c>
      <c r="I22" s="599">
        <f>H22*B22</f>
        <v>0</v>
      </c>
      <c r="J22" s="39">
        <f>F22*0.0274</f>
        <v>59.184000000000005</v>
      </c>
      <c r="K22" s="599">
        <f>J22*B22</f>
        <v>0</v>
      </c>
      <c r="L22" s="39">
        <f>F22*0.0228</f>
        <v>49.248000000000005</v>
      </c>
      <c r="M22" s="39">
        <f>L22*B22</f>
        <v>0</v>
      </c>
      <c r="N22" s="39">
        <f>F22*0.0204</f>
        <v>44.064</v>
      </c>
      <c r="O22" s="39">
        <f>N22*B22</f>
        <v>0</v>
      </c>
      <c r="P22" s="39">
        <f>F22*0.0185</f>
        <v>39.96</v>
      </c>
      <c r="Q22" s="39">
        <f>P22*B22</f>
        <v>0</v>
      </c>
      <c r="R22" s="528"/>
    </row>
    <row r="23" spans="1:18" s="291" customFormat="1" ht="13.5" thickBot="1">
      <c r="A23" s="1172"/>
      <c r="B23" s="416"/>
      <c r="C23" s="865" t="s">
        <v>839</v>
      </c>
      <c r="D23" s="865" t="s">
        <v>4065</v>
      </c>
      <c r="E23" s="866">
        <v>727</v>
      </c>
      <c r="F23" s="594">
        <f>E23*(1-20%)</f>
        <v>581.6</v>
      </c>
      <c r="G23" s="41">
        <f>F23*B23</f>
        <v>0</v>
      </c>
      <c r="H23" s="39">
        <f>F23*0.03137</f>
        <v>18.244792</v>
      </c>
      <c r="I23" s="40">
        <f>H23*B23</f>
        <v>0</v>
      </c>
      <c r="J23" s="39">
        <f>F23*0.0274</f>
        <v>15.935840000000001</v>
      </c>
      <c r="K23" s="40">
        <f>J23*B23</f>
        <v>0</v>
      </c>
      <c r="L23" s="39">
        <f>F23*0.0228</f>
        <v>13.260480000000001</v>
      </c>
      <c r="M23" s="39">
        <f>L23*B23</f>
        <v>0</v>
      </c>
      <c r="N23" s="39">
        <f>F23*0.0204</f>
        <v>11.864640000000001</v>
      </c>
      <c r="O23" s="39">
        <f>N23*B23</f>
        <v>0</v>
      </c>
      <c r="P23" s="39">
        <f>F23*0.0185</f>
        <v>10.759600000000001</v>
      </c>
      <c r="Q23" s="39">
        <f>P23*B23</f>
        <v>0</v>
      </c>
      <c r="R23" s="528"/>
    </row>
    <row r="24" spans="1:18" s="291" customFormat="1" ht="15">
      <c r="A24" s="519"/>
      <c r="B24" s="258"/>
      <c r="C24" s="258"/>
      <c r="D24" s="1008" t="s">
        <v>65</v>
      </c>
      <c r="E24" s="1088"/>
      <c r="F24" s="1261"/>
      <c r="G24" s="520">
        <f>SUM(G21:G23)+G19</f>
        <v>0</v>
      </c>
      <c r="H24" s="867" t="s">
        <v>67</v>
      </c>
      <c r="I24" s="520">
        <f>SUM(I21:I23)+I19</f>
        <v>0</v>
      </c>
      <c r="J24" s="867" t="s">
        <v>68</v>
      </c>
      <c r="K24" s="520">
        <f>SUM(K21:K23)+K19</f>
        <v>0</v>
      </c>
      <c r="L24" s="867" t="s">
        <v>69</v>
      </c>
      <c r="M24" s="520">
        <f>SUM(M21:M23)+M19</f>
        <v>0</v>
      </c>
      <c r="N24" s="867" t="s">
        <v>860</v>
      </c>
      <c r="O24" s="520">
        <f>SUM(O21:O23)+O19</f>
        <v>0</v>
      </c>
      <c r="P24" s="867" t="s">
        <v>861</v>
      </c>
      <c r="Q24" s="520">
        <f>SUM(Q21:Q23)+Q19</f>
        <v>0</v>
      </c>
    </row>
    <row r="25" spans="1:18" s="291" customFormat="1">
      <c r="A25" s="315"/>
      <c r="B25" s="256"/>
      <c r="C25" s="256"/>
      <c r="D25" s="315"/>
      <c r="E25" s="315"/>
      <c r="F25" s="868"/>
      <c r="G25" s="868"/>
      <c r="H25" s="869"/>
      <c r="I25" s="869"/>
      <c r="J25" s="869"/>
      <c r="K25" s="869"/>
      <c r="L25" s="869"/>
      <c r="M25" s="869"/>
      <c r="N25" s="869"/>
      <c r="O25" s="869"/>
      <c r="P25" s="869"/>
      <c r="Q25" s="869"/>
    </row>
    <row r="26" spans="1:18" s="291" customFormat="1" ht="15.75">
      <c r="A26" s="256"/>
      <c r="B26" s="521"/>
      <c r="C26" s="521"/>
      <c r="D26" s="522"/>
      <c r="E26" s="522"/>
      <c r="F26" s="870"/>
      <c r="G26" s="831"/>
      <c r="H26" s="271"/>
      <c r="I26" s="271"/>
      <c r="J26" s="271"/>
      <c r="K26" s="271"/>
      <c r="L26" s="271"/>
      <c r="M26" s="271"/>
      <c r="N26" s="271"/>
      <c r="O26" s="271"/>
      <c r="P26" s="271"/>
      <c r="Q26" s="271"/>
    </row>
    <row r="27" spans="1:18" s="519" customFormat="1">
      <c r="A27" s="256"/>
      <c r="B27" s="256"/>
      <c r="C27" s="256"/>
      <c r="D27" s="256"/>
      <c r="E27" s="256"/>
      <c r="F27" s="870"/>
      <c r="G27" s="831"/>
      <c r="H27" s="271"/>
      <c r="I27" s="271"/>
      <c r="J27" s="271"/>
      <c r="K27" s="271"/>
      <c r="L27" s="271"/>
      <c r="M27" s="271"/>
      <c r="N27" s="271"/>
      <c r="O27" s="271"/>
      <c r="P27" s="271"/>
      <c r="Q27" s="271"/>
    </row>
    <row r="28" spans="1:18" s="519" customFormat="1">
      <c r="A28" s="256"/>
      <c r="B28" s="256"/>
      <c r="C28" s="256"/>
      <c r="D28" s="256"/>
      <c r="E28" s="256"/>
      <c r="F28" s="831"/>
      <c r="G28" s="831"/>
      <c r="H28" s="271"/>
      <c r="I28" s="271"/>
      <c r="J28" s="271"/>
      <c r="K28" s="271"/>
      <c r="L28" s="271"/>
      <c r="M28" s="271"/>
      <c r="N28" s="271"/>
      <c r="O28" s="271"/>
      <c r="P28" s="271"/>
      <c r="Q28" s="271"/>
    </row>
    <row r="29" spans="1:18" s="524" customFormat="1" hidden="1">
      <c r="A29" s="256"/>
      <c r="B29" s="256"/>
      <c r="C29" s="256"/>
      <c r="D29" s="256"/>
      <c r="E29" s="256"/>
      <c r="F29" s="831"/>
      <c r="G29" s="831"/>
      <c r="H29" s="271"/>
      <c r="I29" s="271"/>
      <c r="J29" s="271"/>
      <c r="K29" s="271"/>
      <c r="L29" s="271"/>
      <c r="M29" s="271"/>
      <c r="N29" s="271"/>
      <c r="O29" s="271"/>
      <c r="P29" s="271"/>
      <c r="Q29" s="271"/>
    </row>
    <row r="30" spans="1:18" s="519" customFormat="1">
      <c r="A30" s="256"/>
      <c r="B30" s="256"/>
      <c r="C30" s="256"/>
      <c r="D30" s="256"/>
      <c r="E30" s="256"/>
      <c r="F30" s="333"/>
      <c r="G30" s="831"/>
      <c r="H30" s="256"/>
      <c r="I30" s="271"/>
      <c r="J30" s="256"/>
      <c r="K30" s="271"/>
      <c r="L30" s="256"/>
      <c r="M30" s="271"/>
      <c r="N30" s="256"/>
      <c r="O30" s="271"/>
      <c r="P30" s="256"/>
      <c r="Q30" s="271"/>
    </row>
    <row r="31" spans="1:18" s="315" customFormat="1">
      <c r="A31" s="256"/>
      <c r="B31" s="256"/>
      <c r="C31" s="256"/>
      <c r="D31" s="256"/>
      <c r="E31" s="256"/>
      <c r="F31" s="333"/>
      <c r="G31" s="333"/>
      <c r="H31" s="256"/>
      <c r="I31" s="256"/>
      <c r="J31" s="256"/>
      <c r="K31" s="256"/>
      <c r="L31" s="256"/>
      <c r="M31" s="256"/>
      <c r="N31" s="256"/>
      <c r="O31" s="256"/>
      <c r="P31" s="256"/>
      <c r="Q31" s="256"/>
    </row>
    <row r="36" spans="2:12">
      <c r="L36" s="859">
        <f>F36*0.0256</f>
        <v>0</v>
      </c>
    </row>
    <row r="44" spans="2:12">
      <c r="B44" s="258"/>
      <c r="C44" s="258"/>
    </row>
  </sheetData>
  <mergeCells count="12">
    <mergeCell ref="D24:F24"/>
    <mergeCell ref="A4:O4"/>
    <mergeCell ref="A5:O5"/>
    <mergeCell ref="A12:Q12"/>
    <mergeCell ref="A13:Q13"/>
    <mergeCell ref="A14:H14"/>
    <mergeCell ref="I14:Q14"/>
    <mergeCell ref="A15:Q15"/>
    <mergeCell ref="F17:G17"/>
    <mergeCell ref="H17:Q17"/>
    <mergeCell ref="A20:Q20"/>
    <mergeCell ref="A21:A23"/>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37D71-C716-452F-8044-2964D345005D}">
  <sheetPr>
    <tabColor rgb="FFFF0000"/>
  </sheetPr>
  <dimension ref="A1:R53"/>
  <sheetViews>
    <sheetView zoomScale="90" zoomScaleNormal="90" workbookViewId="0">
      <selection activeCell="A5" sqref="A5:O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0.710937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891</v>
      </c>
      <c r="B4" s="1020"/>
      <c r="C4" s="1020"/>
      <c r="D4" s="1020"/>
      <c r="E4" s="1020"/>
      <c r="F4" s="1020"/>
      <c r="G4" s="1020"/>
      <c r="H4" s="1020"/>
      <c r="I4" s="1020"/>
      <c r="J4" s="1020"/>
      <c r="K4" s="1020"/>
      <c r="L4" s="1020"/>
      <c r="M4" s="1020"/>
      <c r="N4" s="1020"/>
      <c r="O4" s="1020"/>
    </row>
    <row r="5" spans="1:18" s="266" customFormat="1" ht="41.25" customHeight="1">
      <c r="A5" s="1188" t="s">
        <v>892</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D8" s="277"/>
      <c r="E8" s="277"/>
      <c r="H8" s="270"/>
    </row>
    <row r="9" spans="1:18" s="265" customFormat="1" ht="12" customHeight="1">
      <c r="F9" s="446"/>
      <c r="G9" s="446"/>
      <c r="H9" s="270"/>
      <c r="I9" s="282"/>
      <c r="J9" s="282"/>
      <c r="L9" s="282"/>
    </row>
    <row r="10" spans="1:18" s="265" customFormat="1" ht="18.75" thickBot="1">
      <c r="A10" s="1263" t="s">
        <v>30</v>
      </c>
      <c r="B10" s="1230"/>
      <c r="C10" s="1230"/>
      <c r="D10" s="1230"/>
      <c r="E10" s="1230"/>
      <c r="F10" s="1230"/>
      <c r="G10" s="1230"/>
      <c r="H10" s="1230"/>
      <c r="I10" s="1230"/>
      <c r="J10" s="1230"/>
      <c r="K10" s="1230"/>
      <c r="L10" s="1230"/>
      <c r="M10" s="1230"/>
      <c r="N10" s="1230"/>
      <c r="O10" s="1230"/>
      <c r="P10" s="1230"/>
      <c r="Q10" s="1230"/>
    </row>
    <row r="11" spans="1:18" s="265" customFormat="1" ht="18" customHeight="1">
      <c r="A11" s="1264" t="s">
        <v>888</v>
      </c>
      <c r="B11" s="1265"/>
      <c r="C11" s="1265"/>
      <c r="D11" s="1265"/>
      <c r="E11" s="1265"/>
      <c r="F11" s="1265"/>
      <c r="G11" s="1265"/>
      <c r="H11" s="1265"/>
      <c r="I11" s="1265"/>
      <c r="J11" s="1265"/>
      <c r="K11" s="1265"/>
      <c r="L11" s="1265"/>
      <c r="M11" s="1265"/>
      <c r="N11" s="1265"/>
      <c r="O11" s="1265"/>
      <c r="P11" s="1265"/>
      <c r="Q11" s="1266"/>
    </row>
    <row r="12" spans="1:18" s="265" customFormat="1" ht="18" customHeight="1">
      <c r="A12" s="1219" t="s">
        <v>845</v>
      </c>
      <c r="B12" s="1220"/>
      <c r="C12" s="1220"/>
      <c r="D12" s="1220"/>
      <c r="E12" s="1220"/>
      <c r="F12" s="1220"/>
      <c r="G12" s="1220"/>
      <c r="H12" s="1220"/>
      <c r="I12" s="1255">
        <v>2348</v>
      </c>
      <c r="J12" s="1255"/>
      <c r="K12" s="1255"/>
      <c r="L12" s="1255"/>
      <c r="M12" s="1255"/>
      <c r="N12" s="1255"/>
      <c r="O12" s="1255"/>
      <c r="P12" s="1255"/>
      <c r="Q12" s="1267"/>
    </row>
    <row r="13" spans="1:18" s="265" customFormat="1" ht="18" customHeight="1" thickBot="1">
      <c r="A13" s="1221" t="s">
        <v>846</v>
      </c>
      <c r="B13" s="1222"/>
      <c r="C13" s="1222"/>
      <c r="D13" s="1222"/>
      <c r="E13" s="1222"/>
      <c r="F13" s="1222"/>
      <c r="G13" s="1222"/>
      <c r="H13" s="1222"/>
      <c r="I13" s="1222"/>
      <c r="J13" s="1222"/>
      <c r="K13" s="1222"/>
      <c r="L13" s="1222"/>
      <c r="M13" s="1222"/>
      <c r="N13" s="1222"/>
      <c r="O13" s="1222"/>
      <c r="P13" s="1222"/>
      <c r="Q13" s="1223"/>
    </row>
    <row r="14" spans="1:18" s="265" customFormat="1" ht="15" thickBot="1">
      <c r="D14" s="277"/>
      <c r="E14" s="277"/>
      <c r="F14" s="283"/>
      <c r="G14" s="283"/>
      <c r="I14" s="288"/>
      <c r="J14" s="288"/>
      <c r="K14" s="288"/>
      <c r="L14" s="288"/>
    </row>
    <row r="15" spans="1:18" s="265" customFormat="1" ht="13.5" thickBot="1">
      <c r="F15" s="1021" t="s">
        <v>43</v>
      </c>
      <c r="G15" s="1022"/>
      <c r="H15" s="1268" t="s">
        <v>44</v>
      </c>
      <c r="I15" s="1269"/>
      <c r="J15" s="1269"/>
      <c r="K15" s="1269"/>
      <c r="L15" s="1269"/>
      <c r="M15" s="1269"/>
      <c r="N15" s="1269"/>
      <c r="O15" s="1269"/>
      <c r="P15" s="1269"/>
      <c r="Q15" s="1269"/>
    </row>
    <row r="16" spans="1:18" s="265" customFormat="1" ht="57.75" customHeight="1" thickBot="1">
      <c r="A16" s="188" t="s">
        <v>45</v>
      </c>
      <c r="B16" s="188" t="s">
        <v>46</v>
      </c>
      <c r="C16" s="189" t="s">
        <v>47</v>
      </c>
      <c r="D16" s="189" t="s">
        <v>48</v>
      </c>
      <c r="E16" s="189" t="s">
        <v>49</v>
      </c>
      <c r="F16" s="189" t="s">
        <v>50</v>
      </c>
      <c r="G16" s="188" t="s">
        <v>51</v>
      </c>
      <c r="H16" s="189" t="s">
        <v>53</v>
      </c>
      <c r="I16" s="188" t="s">
        <v>51</v>
      </c>
      <c r="J16" s="189" t="s">
        <v>54</v>
      </c>
      <c r="K16" s="188" t="s">
        <v>51</v>
      </c>
      <c r="L16" s="189" t="s">
        <v>55</v>
      </c>
      <c r="M16" s="188" t="s">
        <v>51</v>
      </c>
      <c r="N16" s="189" t="s">
        <v>847</v>
      </c>
      <c r="O16" s="188" t="s">
        <v>51</v>
      </c>
      <c r="P16" s="189" t="s">
        <v>848</v>
      </c>
      <c r="Q16" s="188" t="s">
        <v>51</v>
      </c>
    </row>
    <row r="17" spans="1:18" s="265" customFormat="1" ht="46.5" customHeight="1" thickBot="1">
      <c r="A17" s="1270">
        <v>41</v>
      </c>
      <c r="B17" s="1271"/>
      <c r="C17" s="192" t="s">
        <v>893</v>
      </c>
      <c r="D17" s="206" t="s">
        <v>891</v>
      </c>
      <c r="E17" s="194">
        <v>39482</v>
      </c>
      <c r="F17" s="510">
        <f>SUM(E17:E18)*(1-20%)</f>
        <v>31792.800000000003</v>
      </c>
      <c r="G17" s="1123">
        <f>F17*B17</f>
        <v>0</v>
      </c>
      <c r="H17" s="510">
        <f>F17*0.03137+I12/12</f>
        <v>1193.0068026666668</v>
      </c>
      <c r="I17" s="1123">
        <f>H17*B17</f>
        <v>0</v>
      </c>
      <c r="J17" s="510">
        <f>F17*0.0274+I12/12</f>
        <v>1066.7893866666668</v>
      </c>
      <c r="K17" s="1123">
        <f>J17*B17</f>
        <v>0</v>
      </c>
      <c r="L17" s="30">
        <f>F17*0.0228+I12/12</f>
        <v>920.54250666666667</v>
      </c>
      <c r="M17" s="1123">
        <f>L17*B17</f>
        <v>0</v>
      </c>
      <c r="N17" s="30">
        <f>F17*0.0204+I12/12</f>
        <v>844.23978666666676</v>
      </c>
      <c r="O17" s="1123">
        <f>N17*B17</f>
        <v>0</v>
      </c>
      <c r="P17" s="30">
        <f>F17*0.0185+I12/12</f>
        <v>783.83346666666671</v>
      </c>
      <c r="Q17" s="1123">
        <f>P17*B17</f>
        <v>0</v>
      </c>
    </row>
    <row r="18" spans="1:18" s="265" customFormat="1" ht="13.5" thickBot="1">
      <c r="A18" s="1270"/>
      <c r="B18" s="1271"/>
      <c r="C18" s="709" t="s">
        <v>424</v>
      </c>
      <c r="D18" s="199" t="s">
        <v>57</v>
      </c>
      <c r="E18" s="512">
        <v>259</v>
      </c>
      <c r="F18" s="710" t="s">
        <v>35</v>
      </c>
      <c r="G18" s="1272"/>
      <c r="H18" s="513" t="s">
        <v>35</v>
      </c>
      <c r="I18" s="1272"/>
      <c r="J18" s="513" t="s">
        <v>35</v>
      </c>
      <c r="K18" s="1272"/>
      <c r="L18" s="513" t="s">
        <v>35</v>
      </c>
      <c r="M18" s="1272"/>
      <c r="N18" s="513" t="s">
        <v>35</v>
      </c>
      <c r="O18" s="1272"/>
      <c r="P18" s="513" t="s">
        <v>35</v>
      </c>
      <c r="Q18" s="1124"/>
    </row>
    <row r="19" spans="1:18" s="198" customFormat="1" ht="15.75" customHeight="1" thickBot="1">
      <c r="A19" s="1273" t="s">
        <v>59</v>
      </c>
      <c r="B19" s="1274"/>
      <c r="C19" s="1251"/>
      <c r="D19" s="1251"/>
      <c r="E19" s="1251"/>
      <c r="F19" s="1251"/>
      <c r="G19" s="1251"/>
      <c r="H19" s="1251"/>
      <c r="I19" s="1251"/>
      <c r="J19" s="1251"/>
      <c r="K19" s="1251"/>
      <c r="L19" s="1251"/>
      <c r="M19" s="1251"/>
      <c r="N19" s="1251"/>
      <c r="O19" s="1251"/>
      <c r="P19" s="1251"/>
      <c r="Q19" s="1253"/>
    </row>
    <row r="20" spans="1:18" s="198" customFormat="1" ht="13.5" thickBot="1">
      <c r="A20" s="1006"/>
      <c r="B20" s="860"/>
      <c r="C20" s="861" t="s">
        <v>894</v>
      </c>
      <c r="D20" s="862" t="s">
        <v>895</v>
      </c>
      <c r="E20" s="863">
        <v>4123.7113402061859</v>
      </c>
      <c r="F20" s="39">
        <f>E20*(1-20%)</f>
        <v>3298.969072164949</v>
      </c>
      <c r="G20" s="599">
        <f t="shared" ref="G20:G32" si="0">F20*B20</f>
        <v>0</v>
      </c>
      <c r="H20" s="39">
        <f t="shared" ref="H20:H32" si="1">F20*0.03137</f>
        <v>103.48865979381446</v>
      </c>
      <c r="I20" s="599">
        <f t="shared" ref="I20:I32" si="2">H20*B20</f>
        <v>0</v>
      </c>
      <c r="J20" s="39">
        <f t="shared" ref="J20:J32" si="3">F20*0.0274</f>
        <v>90.391752577319608</v>
      </c>
      <c r="K20" s="599">
        <f t="shared" ref="K20:K32" si="4">J20*B20</f>
        <v>0</v>
      </c>
      <c r="L20" s="39">
        <f t="shared" ref="L20:L32" si="5">F20*0.0228</f>
        <v>75.216494845360842</v>
      </c>
      <c r="M20" s="39">
        <f t="shared" ref="M20:M32" si="6">L20*B20</f>
        <v>0</v>
      </c>
      <c r="N20" s="39">
        <f t="shared" ref="N20:N32" si="7">F20*0.0204</f>
        <v>67.298969072164965</v>
      </c>
      <c r="O20" s="39">
        <f t="shared" ref="O20:O32" si="8">N20*B20</f>
        <v>0</v>
      </c>
      <c r="P20" s="39">
        <f>F20*0.0185</f>
        <v>61.030927835051557</v>
      </c>
      <c r="Q20" s="39">
        <f>P20*B20</f>
        <v>0</v>
      </c>
      <c r="R20" s="528"/>
    </row>
    <row r="21" spans="1:18" s="519" customFormat="1" ht="13.5" thickBot="1">
      <c r="A21" s="1172"/>
      <c r="B21" s="416"/>
      <c r="C21" s="864" t="s">
        <v>896</v>
      </c>
      <c r="D21" s="865" t="s">
        <v>897</v>
      </c>
      <c r="E21" s="866">
        <v>10819.58762886598</v>
      </c>
      <c r="F21" s="594">
        <f t="shared" ref="F21:F32" si="9">E21*(1-20%)</f>
        <v>8655.6701030927852</v>
      </c>
      <c r="G21" s="41">
        <f>F21*B21</f>
        <v>0</v>
      </c>
      <c r="H21" s="39">
        <f t="shared" si="1"/>
        <v>271.52837113402069</v>
      </c>
      <c r="I21" s="40">
        <f>H21*B21</f>
        <v>0</v>
      </c>
      <c r="J21" s="39">
        <f t="shared" si="3"/>
        <v>237.16536082474232</v>
      </c>
      <c r="K21" s="40">
        <f>J21*B21</f>
        <v>0</v>
      </c>
      <c r="L21" s="39">
        <f t="shared" si="5"/>
        <v>197.3492783505155</v>
      </c>
      <c r="M21" s="39">
        <f>L21*B21</f>
        <v>0</v>
      </c>
      <c r="N21" s="39">
        <f t="shared" si="7"/>
        <v>176.57567010309282</v>
      </c>
      <c r="O21" s="39">
        <f>N21*B21</f>
        <v>0</v>
      </c>
      <c r="P21" s="39">
        <f t="shared" ref="P21:P32" si="10">F21*0.0185</f>
        <v>160.12989690721651</v>
      </c>
      <c r="Q21" s="39">
        <f t="shared" ref="Q21:Q32" si="11">P21*B21</f>
        <v>0</v>
      </c>
      <c r="R21" s="528"/>
    </row>
    <row r="22" spans="1:18" s="291" customFormat="1" ht="13.5" thickBot="1">
      <c r="A22" s="1172"/>
      <c r="B22" s="416"/>
      <c r="C22" s="864" t="s">
        <v>898</v>
      </c>
      <c r="D22" s="865" t="s">
        <v>899</v>
      </c>
      <c r="E22" s="866">
        <v>17520.618556701033</v>
      </c>
      <c r="F22" s="594">
        <f t="shared" si="9"/>
        <v>14016.494845360827</v>
      </c>
      <c r="G22" s="41">
        <f t="shared" si="0"/>
        <v>0</v>
      </c>
      <c r="H22" s="39">
        <f t="shared" si="1"/>
        <v>439.69744329896918</v>
      </c>
      <c r="I22" s="40">
        <f t="shared" si="2"/>
        <v>0</v>
      </c>
      <c r="J22" s="39">
        <f t="shared" si="3"/>
        <v>384.05195876288667</v>
      </c>
      <c r="K22" s="40">
        <f t="shared" si="4"/>
        <v>0</v>
      </c>
      <c r="L22" s="39">
        <f t="shared" si="5"/>
        <v>319.57608247422684</v>
      </c>
      <c r="M22" s="39">
        <f t="shared" si="6"/>
        <v>0</v>
      </c>
      <c r="N22" s="39">
        <f t="shared" si="7"/>
        <v>285.93649484536087</v>
      </c>
      <c r="O22" s="39">
        <f t="shared" si="8"/>
        <v>0</v>
      </c>
      <c r="P22" s="39">
        <f t="shared" si="10"/>
        <v>259.30515463917527</v>
      </c>
      <c r="Q22" s="39">
        <f t="shared" si="11"/>
        <v>0</v>
      </c>
      <c r="R22" s="528"/>
    </row>
    <row r="23" spans="1:18" s="291" customFormat="1" ht="13.5" thickBot="1">
      <c r="A23" s="1172"/>
      <c r="B23" s="416"/>
      <c r="C23" s="864" t="s">
        <v>900</v>
      </c>
      <c r="D23" s="865" t="s">
        <v>901</v>
      </c>
      <c r="E23" s="866">
        <v>18551.546391752578</v>
      </c>
      <c r="F23" s="594">
        <f>E23*(1-20%)</f>
        <v>14841.237113402063</v>
      </c>
      <c r="G23" s="41">
        <f>F23*B23</f>
        <v>0</v>
      </c>
      <c r="H23" s="39">
        <f>F23*0.03137</f>
        <v>465.56960824742276</v>
      </c>
      <c r="I23" s="40">
        <f>H23*B23</f>
        <v>0</v>
      </c>
      <c r="J23" s="39">
        <f>F23*0.0274</f>
        <v>406.64989690721654</v>
      </c>
      <c r="K23" s="40">
        <f>J23*B23</f>
        <v>0</v>
      </c>
      <c r="L23" s="39">
        <f>F23*0.0228</f>
        <v>338.38020618556703</v>
      </c>
      <c r="M23" s="39">
        <f>L23*B23</f>
        <v>0</v>
      </c>
      <c r="N23" s="39">
        <f>F23*0.0204</f>
        <v>302.7612371134021</v>
      </c>
      <c r="O23" s="39">
        <f>N23*B23</f>
        <v>0</v>
      </c>
      <c r="P23" s="39">
        <f>F23*0.0185</f>
        <v>274.56288659793813</v>
      </c>
      <c r="Q23" s="39">
        <f>P23*B23</f>
        <v>0</v>
      </c>
      <c r="R23" s="528"/>
    </row>
    <row r="24" spans="1:18" s="291" customFormat="1" ht="13.5" thickBot="1">
      <c r="A24" s="1172"/>
      <c r="B24" s="416"/>
      <c r="C24" s="864" t="s">
        <v>869</v>
      </c>
      <c r="D24" s="865" t="s">
        <v>902</v>
      </c>
      <c r="E24" s="866">
        <v>1546.3917525773197</v>
      </c>
      <c r="F24" s="594">
        <f t="shared" si="9"/>
        <v>1237.1134020618558</v>
      </c>
      <c r="G24" s="41">
        <f t="shared" si="0"/>
        <v>0</v>
      </c>
      <c r="H24" s="39">
        <f t="shared" si="1"/>
        <v>38.808247422680417</v>
      </c>
      <c r="I24" s="40">
        <f t="shared" si="2"/>
        <v>0</v>
      </c>
      <c r="J24" s="39">
        <f t="shared" si="3"/>
        <v>33.896907216494853</v>
      </c>
      <c r="K24" s="40">
        <f t="shared" si="4"/>
        <v>0</v>
      </c>
      <c r="L24" s="39">
        <f t="shared" si="5"/>
        <v>28.206185567010312</v>
      </c>
      <c r="M24" s="39">
        <f t="shared" si="6"/>
        <v>0</v>
      </c>
      <c r="N24" s="39">
        <f t="shared" si="7"/>
        <v>25.237113402061862</v>
      </c>
      <c r="O24" s="39">
        <f t="shared" si="8"/>
        <v>0</v>
      </c>
      <c r="P24" s="39">
        <f t="shared" si="10"/>
        <v>22.88659793814433</v>
      </c>
      <c r="Q24" s="39">
        <f t="shared" si="11"/>
        <v>0</v>
      </c>
      <c r="R24" s="528"/>
    </row>
    <row r="25" spans="1:18" s="291" customFormat="1" ht="13.5" thickBot="1">
      <c r="A25" s="1172"/>
      <c r="B25" s="416"/>
      <c r="C25" s="864" t="s">
        <v>903</v>
      </c>
      <c r="D25" s="865" t="s">
        <v>904</v>
      </c>
      <c r="E25" s="866">
        <v>1443.2989690721649</v>
      </c>
      <c r="F25" s="594">
        <f>E25*(1-20%)</f>
        <v>1154.6391752577319</v>
      </c>
      <c r="G25" s="41">
        <f>F25*B25</f>
        <v>0</v>
      </c>
      <c r="H25" s="39">
        <f t="shared" si="1"/>
        <v>36.221030927835052</v>
      </c>
      <c r="I25" s="40">
        <f>H25*B25</f>
        <v>0</v>
      </c>
      <c r="J25" s="39">
        <f t="shared" si="3"/>
        <v>31.637113402061857</v>
      </c>
      <c r="K25" s="40">
        <f>J25*B25</f>
        <v>0</v>
      </c>
      <c r="L25" s="39">
        <f t="shared" si="5"/>
        <v>26.325773195876291</v>
      </c>
      <c r="M25" s="39">
        <f>L25*B25</f>
        <v>0</v>
      </c>
      <c r="N25" s="39">
        <f t="shared" si="7"/>
        <v>23.554639175257734</v>
      </c>
      <c r="O25" s="39">
        <f>N25*B25</f>
        <v>0</v>
      </c>
      <c r="P25" s="39">
        <f>F25*0.0185</f>
        <v>21.36082474226804</v>
      </c>
      <c r="Q25" s="39">
        <f>P25*B25</f>
        <v>0</v>
      </c>
      <c r="R25" s="528"/>
    </row>
    <row r="26" spans="1:18" s="291" customFormat="1" ht="13.5" thickBot="1">
      <c r="A26" s="1172"/>
      <c r="B26" s="416"/>
      <c r="C26" s="864" t="s">
        <v>905</v>
      </c>
      <c r="D26" s="865" t="s">
        <v>906</v>
      </c>
      <c r="E26" s="866">
        <v>1443.2989690721649</v>
      </c>
      <c r="F26" s="594">
        <f>E26*(1-20%)</f>
        <v>1154.6391752577319</v>
      </c>
      <c r="G26" s="41">
        <f>F26*B26</f>
        <v>0</v>
      </c>
      <c r="H26" s="39">
        <f t="shared" si="1"/>
        <v>36.221030927835052</v>
      </c>
      <c r="I26" s="40">
        <f>H26*B26</f>
        <v>0</v>
      </c>
      <c r="J26" s="39">
        <f t="shared" si="3"/>
        <v>31.637113402061857</v>
      </c>
      <c r="K26" s="40">
        <f>J26*B26</f>
        <v>0</v>
      </c>
      <c r="L26" s="39">
        <f t="shared" si="5"/>
        <v>26.325773195876291</v>
      </c>
      <c r="M26" s="39">
        <f>L26*B26</f>
        <v>0</v>
      </c>
      <c r="N26" s="39">
        <f t="shared" si="7"/>
        <v>23.554639175257734</v>
      </c>
      <c r="O26" s="39">
        <f>N26*B26</f>
        <v>0</v>
      </c>
      <c r="P26" s="39">
        <f>F26*0.0185</f>
        <v>21.36082474226804</v>
      </c>
      <c r="Q26" s="39">
        <f>P26*B26</f>
        <v>0</v>
      </c>
      <c r="R26" s="528"/>
    </row>
    <row r="27" spans="1:18" s="291" customFormat="1" ht="12.6" customHeight="1" thickBot="1">
      <c r="A27" s="1172"/>
      <c r="B27" s="416"/>
      <c r="C27" s="864" t="s">
        <v>907</v>
      </c>
      <c r="D27" s="865" t="s">
        <v>908</v>
      </c>
      <c r="E27" s="866">
        <v>1237.1134020618556</v>
      </c>
      <c r="F27" s="594">
        <f t="shared" si="9"/>
        <v>989.69072164948454</v>
      </c>
      <c r="G27" s="41">
        <f t="shared" si="0"/>
        <v>0</v>
      </c>
      <c r="H27" s="39">
        <f t="shared" si="1"/>
        <v>31.04659793814433</v>
      </c>
      <c r="I27" s="40">
        <f t="shared" si="2"/>
        <v>0</v>
      </c>
      <c r="J27" s="39">
        <f t="shared" si="3"/>
        <v>27.117525773195876</v>
      </c>
      <c r="K27" s="40">
        <f t="shared" si="4"/>
        <v>0</v>
      </c>
      <c r="L27" s="39">
        <f t="shared" si="5"/>
        <v>22.564948453608249</v>
      </c>
      <c r="M27" s="39">
        <f t="shared" si="6"/>
        <v>0</v>
      </c>
      <c r="N27" s="39">
        <f t="shared" si="7"/>
        <v>20.189690721649487</v>
      </c>
      <c r="O27" s="39">
        <f t="shared" si="8"/>
        <v>0</v>
      </c>
      <c r="P27" s="39">
        <f t="shared" si="10"/>
        <v>18.309278350515463</v>
      </c>
      <c r="Q27" s="39">
        <f t="shared" si="11"/>
        <v>0</v>
      </c>
      <c r="R27" s="528"/>
    </row>
    <row r="28" spans="1:18" s="519" customFormat="1" ht="13.5" thickBot="1">
      <c r="A28" s="1172"/>
      <c r="B28" s="416"/>
      <c r="C28" s="864" t="s">
        <v>909</v>
      </c>
      <c r="D28" s="865" t="s">
        <v>910</v>
      </c>
      <c r="E28" s="866">
        <v>1237.1134020618556</v>
      </c>
      <c r="F28" s="594">
        <f t="shared" si="9"/>
        <v>989.69072164948454</v>
      </c>
      <c r="G28" s="41">
        <f>F28*B28</f>
        <v>0</v>
      </c>
      <c r="H28" s="39">
        <f t="shared" si="1"/>
        <v>31.04659793814433</v>
      </c>
      <c r="I28" s="40">
        <f>H28*B28</f>
        <v>0</v>
      </c>
      <c r="J28" s="39">
        <f t="shared" si="3"/>
        <v>27.117525773195876</v>
      </c>
      <c r="K28" s="40">
        <f>J28*B28</f>
        <v>0</v>
      </c>
      <c r="L28" s="39">
        <f t="shared" si="5"/>
        <v>22.564948453608249</v>
      </c>
      <c r="M28" s="39">
        <f>L28*B28</f>
        <v>0</v>
      </c>
      <c r="N28" s="39">
        <f t="shared" si="7"/>
        <v>20.189690721649487</v>
      </c>
      <c r="O28" s="39">
        <f>N28*B28</f>
        <v>0</v>
      </c>
      <c r="P28" s="39">
        <f t="shared" si="10"/>
        <v>18.309278350515463</v>
      </c>
      <c r="Q28" s="39">
        <f t="shared" si="11"/>
        <v>0</v>
      </c>
      <c r="R28" s="528"/>
    </row>
    <row r="29" spans="1:18" s="291" customFormat="1" ht="13.5" thickBot="1">
      <c r="A29" s="1172"/>
      <c r="B29" s="416"/>
      <c r="C29" s="864" t="s">
        <v>879</v>
      </c>
      <c r="D29" s="865" t="s">
        <v>911</v>
      </c>
      <c r="E29" s="866">
        <v>1025.7731958762886</v>
      </c>
      <c r="F29" s="594">
        <f t="shared" si="9"/>
        <v>820.61855670103091</v>
      </c>
      <c r="G29" s="41">
        <f>F29*B29</f>
        <v>0</v>
      </c>
      <c r="H29" s="39">
        <f t="shared" si="1"/>
        <v>25.742804123711341</v>
      </c>
      <c r="I29" s="40">
        <f>H29*B29</f>
        <v>0</v>
      </c>
      <c r="J29" s="39">
        <f t="shared" si="3"/>
        <v>22.484948453608247</v>
      </c>
      <c r="K29" s="40">
        <f>J29*B29</f>
        <v>0</v>
      </c>
      <c r="L29" s="39">
        <f t="shared" si="5"/>
        <v>18.710103092783505</v>
      </c>
      <c r="M29" s="39">
        <f>L29*B29</f>
        <v>0</v>
      </c>
      <c r="N29" s="39">
        <f t="shared" si="7"/>
        <v>16.740618556701033</v>
      </c>
      <c r="O29" s="39">
        <f>N29*B29</f>
        <v>0</v>
      </c>
      <c r="P29" s="39">
        <f t="shared" si="10"/>
        <v>15.181443298969072</v>
      </c>
      <c r="Q29" s="39">
        <f t="shared" si="11"/>
        <v>0</v>
      </c>
      <c r="R29" s="528"/>
    </row>
    <row r="30" spans="1:18" s="291" customFormat="1" ht="13.5" thickBot="1">
      <c r="A30" s="1172"/>
      <c r="B30" s="416"/>
      <c r="C30" s="864" t="s">
        <v>881</v>
      </c>
      <c r="D30" s="865" t="s">
        <v>912</v>
      </c>
      <c r="E30" s="866">
        <v>1025.7731958762886</v>
      </c>
      <c r="F30" s="594">
        <f t="shared" si="9"/>
        <v>820.61855670103091</v>
      </c>
      <c r="G30" s="41">
        <f>F30*B30</f>
        <v>0</v>
      </c>
      <c r="H30" s="39">
        <f t="shared" si="1"/>
        <v>25.742804123711341</v>
      </c>
      <c r="I30" s="40">
        <f>H30*B30</f>
        <v>0</v>
      </c>
      <c r="J30" s="39">
        <f t="shared" si="3"/>
        <v>22.484948453608247</v>
      </c>
      <c r="K30" s="40">
        <f>J30*B30</f>
        <v>0</v>
      </c>
      <c r="L30" s="39">
        <f t="shared" si="5"/>
        <v>18.710103092783505</v>
      </c>
      <c r="M30" s="39">
        <f>L30*B30</f>
        <v>0</v>
      </c>
      <c r="N30" s="39">
        <f t="shared" si="7"/>
        <v>16.740618556701033</v>
      </c>
      <c r="O30" s="39">
        <f>N30*B30</f>
        <v>0</v>
      </c>
      <c r="P30" s="39">
        <f t="shared" si="10"/>
        <v>15.181443298969072</v>
      </c>
      <c r="Q30" s="39">
        <f t="shared" si="11"/>
        <v>0</v>
      </c>
      <c r="R30" s="528"/>
    </row>
    <row r="31" spans="1:18" s="291" customFormat="1" ht="13.5" thickBot="1">
      <c r="A31" s="1172"/>
      <c r="B31" s="416"/>
      <c r="C31" s="864" t="s">
        <v>913</v>
      </c>
      <c r="D31" s="865" t="s">
        <v>914</v>
      </c>
      <c r="E31" s="866">
        <v>1025.7731958762886</v>
      </c>
      <c r="F31" s="594">
        <f t="shared" si="9"/>
        <v>820.61855670103091</v>
      </c>
      <c r="G31" s="41">
        <f t="shared" si="0"/>
        <v>0</v>
      </c>
      <c r="H31" s="39">
        <f t="shared" si="1"/>
        <v>25.742804123711341</v>
      </c>
      <c r="I31" s="40">
        <f t="shared" si="2"/>
        <v>0</v>
      </c>
      <c r="J31" s="39">
        <f t="shared" si="3"/>
        <v>22.484948453608247</v>
      </c>
      <c r="K31" s="40">
        <f t="shared" si="4"/>
        <v>0</v>
      </c>
      <c r="L31" s="39">
        <f t="shared" si="5"/>
        <v>18.710103092783505</v>
      </c>
      <c r="M31" s="39">
        <f t="shared" si="6"/>
        <v>0</v>
      </c>
      <c r="N31" s="39">
        <f t="shared" si="7"/>
        <v>16.740618556701033</v>
      </c>
      <c r="O31" s="39">
        <f t="shared" si="8"/>
        <v>0</v>
      </c>
      <c r="P31" s="39">
        <f t="shared" si="10"/>
        <v>15.181443298969072</v>
      </c>
      <c r="Q31" s="39">
        <f t="shared" si="11"/>
        <v>0</v>
      </c>
      <c r="R31" s="528"/>
    </row>
    <row r="32" spans="1:18" s="291" customFormat="1" ht="13.5" thickBot="1">
      <c r="A32" s="1173"/>
      <c r="B32" s="416"/>
      <c r="C32" s="864" t="s">
        <v>915</v>
      </c>
      <c r="D32" s="865" t="s">
        <v>916</v>
      </c>
      <c r="E32" s="866">
        <v>1025.7731958762886</v>
      </c>
      <c r="F32" s="594">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28"/>
    </row>
    <row r="33" spans="1:17" s="291" customFormat="1" ht="15">
      <c r="A33" s="519"/>
      <c r="B33" s="258"/>
      <c r="C33" s="258"/>
      <c r="D33" s="1008" t="s">
        <v>65</v>
      </c>
      <c r="E33" s="1088"/>
      <c r="F33" s="1261"/>
      <c r="G33" s="520">
        <f>SUM(G20:G32)+G17</f>
        <v>0</v>
      </c>
      <c r="H33" s="867" t="s">
        <v>67</v>
      </c>
      <c r="I33" s="520">
        <f>SUM(I20:I32)+I17</f>
        <v>0</v>
      </c>
      <c r="J33" s="867" t="s">
        <v>68</v>
      </c>
      <c r="K33" s="520">
        <f>SUM(K20:K32)+K17</f>
        <v>0</v>
      </c>
      <c r="L33" s="867" t="s">
        <v>69</v>
      </c>
      <c r="M33" s="520">
        <f>SUM(M20:M32)+M17</f>
        <v>0</v>
      </c>
      <c r="N33" s="867" t="s">
        <v>860</v>
      </c>
      <c r="O33" s="520">
        <f>SUM(O20:O32)+O17</f>
        <v>0</v>
      </c>
      <c r="P33" s="867" t="s">
        <v>861</v>
      </c>
      <c r="Q33" s="520">
        <f>SUM(Q20:Q32)+Q17</f>
        <v>0</v>
      </c>
    </row>
    <row r="34" spans="1:17" s="291" customFormat="1">
      <c r="A34" s="315"/>
      <c r="B34" s="256"/>
      <c r="C34" s="256"/>
      <c r="D34" s="315"/>
      <c r="E34" s="315"/>
      <c r="F34" s="868"/>
      <c r="G34" s="868"/>
      <c r="H34" s="869"/>
      <c r="I34" s="869"/>
      <c r="J34" s="869"/>
      <c r="K34" s="869"/>
      <c r="L34" s="869"/>
      <c r="M34" s="869"/>
      <c r="N34" s="869"/>
      <c r="O34" s="869"/>
      <c r="P34" s="869"/>
      <c r="Q34" s="869"/>
    </row>
    <row r="35" spans="1:17" s="291" customFormat="1" ht="15.75">
      <c r="A35" s="256"/>
      <c r="B35" s="521"/>
      <c r="C35" s="521"/>
      <c r="D35" s="522"/>
      <c r="E35" s="522"/>
      <c r="F35" s="870"/>
      <c r="G35" s="831"/>
      <c r="H35" s="271"/>
      <c r="I35" s="271"/>
      <c r="J35" s="271"/>
      <c r="K35" s="271"/>
      <c r="L35" s="271"/>
      <c r="M35" s="271"/>
      <c r="N35" s="271"/>
      <c r="O35" s="271"/>
      <c r="P35" s="271"/>
      <c r="Q35" s="271"/>
    </row>
    <row r="36" spans="1:17" s="519" customFormat="1">
      <c r="A36" s="256"/>
      <c r="B36" s="256"/>
      <c r="C36" s="256"/>
      <c r="D36" s="256"/>
      <c r="E36" s="256"/>
      <c r="F36" s="870"/>
      <c r="G36" s="831"/>
      <c r="H36" s="271"/>
      <c r="I36" s="271"/>
      <c r="J36" s="271"/>
      <c r="K36" s="271"/>
      <c r="L36" s="271"/>
      <c r="M36" s="271"/>
      <c r="N36" s="271"/>
      <c r="O36" s="271"/>
      <c r="P36" s="271"/>
      <c r="Q36" s="271"/>
    </row>
    <row r="37" spans="1:17" s="519" customFormat="1">
      <c r="A37" s="256"/>
      <c r="B37" s="256"/>
      <c r="C37" s="256"/>
      <c r="D37" s="256"/>
      <c r="E37" s="256"/>
      <c r="F37" s="831"/>
      <c r="G37" s="831"/>
      <c r="H37" s="271"/>
      <c r="I37" s="271"/>
      <c r="J37" s="271"/>
      <c r="K37" s="271"/>
      <c r="L37" s="271"/>
      <c r="M37" s="271"/>
      <c r="N37" s="271"/>
      <c r="O37" s="271"/>
      <c r="P37" s="271"/>
      <c r="Q37" s="271"/>
    </row>
    <row r="38" spans="1:17" s="524" customFormat="1" hidden="1">
      <c r="A38" s="256"/>
      <c r="B38" s="256"/>
      <c r="C38" s="256"/>
      <c r="D38" s="256"/>
      <c r="E38" s="256"/>
      <c r="F38" s="831"/>
      <c r="G38" s="831"/>
      <c r="H38" s="271"/>
      <c r="I38" s="271"/>
      <c r="J38" s="271"/>
      <c r="K38" s="271"/>
      <c r="L38" s="271"/>
      <c r="M38" s="271"/>
      <c r="N38" s="271"/>
      <c r="O38" s="271"/>
      <c r="P38" s="271"/>
      <c r="Q38" s="271"/>
    </row>
    <row r="39" spans="1:17" s="519" customFormat="1">
      <c r="A39" s="256"/>
      <c r="B39" s="256"/>
      <c r="C39" s="256"/>
      <c r="D39" s="256"/>
      <c r="E39" s="256"/>
      <c r="F39" s="333"/>
      <c r="G39" s="831"/>
      <c r="H39" s="256"/>
      <c r="I39" s="271"/>
      <c r="J39" s="256"/>
      <c r="K39" s="271"/>
      <c r="L39" s="859">
        <f>F39*0.0256</f>
        <v>0</v>
      </c>
      <c r="M39" s="271"/>
      <c r="N39" s="256"/>
      <c r="O39" s="271"/>
      <c r="P39" s="256"/>
      <c r="Q39" s="271"/>
    </row>
    <row r="40" spans="1:17" s="315" customFormat="1">
      <c r="A40" s="256"/>
      <c r="B40" s="256"/>
      <c r="C40" s="256"/>
      <c r="D40" s="256"/>
      <c r="E40" s="256"/>
      <c r="F40" s="333"/>
      <c r="G40" s="333"/>
      <c r="H40" s="256"/>
      <c r="I40" s="256"/>
      <c r="J40" s="256"/>
      <c r="K40" s="256"/>
      <c r="L40" s="256"/>
      <c r="M40" s="256"/>
      <c r="N40" s="256"/>
      <c r="O40" s="256"/>
      <c r="P40" s="256"/>
      <c r="Q40" s="256"/>
    </row>
    <row r="53" spans="2:3">
      <c r="B53" s="258"/>
      <c r="C53" s="258"/>
    </row>
  </sheetData>
  <mergeCells count="20">
    <mergeCell ref="A4:O4"/>
    <mergeCell ref="A5:O5"/>
    <mergeCell ref="A10:Q10"/>
    <mergeCell ref="A11:Q11"/>
    <mergeCell ref="A12:H12"/>
    <mergeCell ref="I12:Q12"/>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D065-6A7F-4B52-90CE-7A8EB1E09805}">
  <sheetPr>
    <tabColor indexed="44"/>
  </sheetPr>
  <dimension ref="A1:R43"/>
  <sheetViews>
    <sheetView zoomScale="80" zoomScaleNormal="80" workbookViewId="0">
      <selection activeCell="A5" sqref="A5:O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1.8554687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917</v>
      </c>
      <c r="B4" s="1020"/>
      <c r="C4" s="1020"/>
      <c r="D4" s="1020"/>
      <c r="E4" s="1020"/>
      <c r="F4" s="1020"/>
      <c r="G4" s="1020"/>
      <c r="H4" s="1020"/>
      <c r="I4" s="1020"/>
      <c r="J4" s="1020"/>
      <c r="K4" s="1020"/>
      <c r="L4" s="1020"/>
      <c r="M4" s="1020"/>
      <c r="N4" s="1020"/>
      <c r="O4" s="1020"/>
    </row>
    <row r="5" spans="1:18" s="266" customFormat="1" ht="41.25" customHeight="1">
      <c r="A5" s="1188" t="s">
        <v>4077</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F8" s="446"/>
      <c r="G8" s="446"/>
      <c r="H8" s="1262"/>
      <c r="I8" s="1262"/>
      <c r="J8" s="1262"/>
      <c r="K8" s="507"/>
    </row>
    <row r="9" spans="1:18" s="265" customFormat="1">
      <c r="F9" s="446"/>
      <c r="G9" s="446"/>
      <c r="H9" s="270"/>
      <c r="J9" s="282"/>
      <c r="L9" s="282"/>
    </row>
    <row r="10" spans="1:18" s="265" customFormat="1" ht="12" customHeight="1">
      <c r="F10" s="446"/>
      <c r="G10" s="446"/>
      <c r="H10" s="270"/>
      <c r="I10" s="282"/>
      <c r="J10" s="282"/>
      <c r="L10" s="282"/>
    </row>
    <row r="11" spans="1:18" s="265" customFormat="1" ht="18.75" thickBot="1">
      <c r="A11" s="1263" t="s">
        <v>30</v>
      </c>
      <c r="B11" s="1230"/>
      <c r="C11" s="1230"/>
      <c r="D11" s="1230"/>
      <c r="E11" s="1230"/>
      <c r="F11" s="1230"/>
      <c r="G11" s="1230"/>
      <c r="H11" s="1230"/>
      <c r="I11" s="1230"/>
      <c r="J11" s="1230"/>
      <c r="K11" s="1230"/>
      <c r="L11" s="1230"/>
      <c r="M11" s="1230"/>
      <c r="N11" s="1230"/>
      <c r="O11" s="1230"/>
      <c r="P11" s="1230"/>
      <c r="Q11" s="1230"/>
    </row>
    <row r="12" spans="1:18" s="265" customFormat="1" ht="18" customHeight="1">
      <c r="A12" s="1264" t="s">
        <v>918</v>
      </c>
      <c r="B12" s="1265"/>
      <c r="C12" s="1265"/>
      <c r="D12" s="1265"/>
      <c r="E12" s="1265"/>
      <c r="F12" s="1265"/>
      <c r="G12" s="1265"/>
      <c r="H12" s="1265"/>
      <c r="I12" s="1265"/>
      <c r="J12" s="1265"/>
      <c r="K12" s="1265"/>
      <c r="L12" s="1265"/>
      <c r="M12" s="1265"/>
      <c r="N12" s="1265"/>
      <c r="O12" s="1265"/>
      <c r="P12" s="1265"/>
      <c r="Q12" s="1266"/>
    </row>
    <row r="13" spans="1:18" s="265" customFormat="1" ht="18" customHeight="1">
      <c r="A13" s="1219" t="s">
        <v>845</v>
      </c>
      <c r="B13" s="1220"/>
      <c r="C13" s="1220"/>
      <c r="D13" s="1220"/>
      <c r="E13" s="1220"/>
      <c r="F13" s="1220"/>
      <c r="G13" s="1220"/>
      <c r="H13" s="1220"/>
      <c r="I13" s="1255">
        <v>2940</v>
      </c>
      <c r="J13" s="1255"/>
      <c r="K13" s="1255"/>
      <c r="L13" s="1255"/>
      <c r="M13" s="1255"/>
      <c r="N13" s="1255"/>
      <c r="O13" s="1255"/>
      <c r="P13" s="1255"/>
      <c r="Q13" s="1267"/>
    </row>
    <row r="14" spans="1:18" s="265" customFormat="1" ht="18" customHeight="1" thickBot="1">
      <c r="A14" s="1221" t="s">
        <v>846</v>
      </c>
      <c r="B14" s="1222"/>
      <c r="C14" s="1222"/>
      <c r="D14" s="1222"/>
      <c r="E14" s="1222"/>
      <c r="F14" s="1222"/>
      <c r="G14" s="1222"/>
      <c r="H14" s="1222"/>
      <c r="I14" s="1222"/>
      <c r="J14" s="1222"/>
      <c r="K14" s="1222"/>
      <c r="L14" s="1222"/>
      <c r="M14" s="1222"/>
      <c r="N14" s="1222"/>
      <c r="O14" s="1222"/>
      <c r="P14" s="1222"/>
      <c r="Q14" s="1223"/>
    </row>
    <row r="15" spans="1:18" s="265" customFormat="1" ht="15" thickBot="1">
      <c r="D15" s="277"/>
      <c r="E15" s="277"/>
      <c r="F15" s="283"/>
      <c r="G15" s="283"/>
      <c r="I15" s="288"/>
      <c r="J15" s="288"/>
      <c r="K15" s="288"/>
      <c r="L15" s="288"/>
    </row>
    <row r="16" spans="1:18" s="265" customFormat="1" ht="13.5" thickBot="1">
      <c r="F16" s="1021" t="s">
        <v>43</v>
      </c>
      <c r="G16" s="1022"/>
      <c r="H16" s="1268" t="s">
        <v>44</v>
      </c>
      <c r="I16" s="1269"/>
      <c r="J16" s="1269"/>
      <c r="K16" s="1269"/>
      <c r="L16" s="1269"/>
      <c r="M16" s="1269"/>
      <c r="N16" s="1269"/>
      <c r="O16" s="1269"/>
      <c r="P16" s="1269"/>
      <c r="Q16" s="1269"/>
    </row>
    <row r="17" spans="1:18" s="265" customFormat="1" ht="57.75" customHeight="1" thickBot="1">
      <c r="A17" s="188" t="s">
        <v>45</v>
      </c>
      <c r="B17" s="188" t="s">
        <v>46</v>
      </c>
      <c r="C17" s="189" t="s">
        <v>47</v>
      </c>
      <c r="D17" s="189" t="s">
        <v>48</v>
      </c>
      <c r="E17" s="189" t="s">
        <v>49</v>
      </c>
      <c r="F17" s="189" t="s">
        <v>50</v>
      </c>
      <c r="G17" s="188" t="s">
        <v>51</v>
      </c>
      <c r="H17" s="189" t="s">
        <v>53</v>
      </c>
      <c r="I17" s="188" t="s">
        <v>51</v>
      </c>
      <c r="J17" s="189" t="s">
        <v>54</v>
      </c>
      <c r="K17" s="188" t="s">
        <v>51</v>
      </c>
      <c r="L17" s="189" t="s">
        <v>55</v>
      </c>
      <c r="M17" s="188" t="s">
        <v>51</v>
      </c>
      <c r="N17" s="189" t="s">
        <v>847</v>
      </c>
      <c r="O17" s="188" t="s">
        <v>51</v>
      </c>
      <c r="P17" s="189" t="s">
        <v>848</v>
      </c>
      <c r="Q17" s="188" t="s">
        <v>51</v>
      </c>
    </row>
    <row r="18" spans="1:18" s="265" customFormat="1" ht="46.5" customHeight="1" thickBot="1">
      <c r="A18" s="428">
        <v>41</v>
      </c>
      <c r="B18" s="191"/>
      <c r="C18" s="192" t="s">
        <v>919</v>
      </c>
      <c r="D18" s="206" t="s">
        <v>4076</v>
      </c>
      <c r="E18" s="194">
        <v>44600</v>
      </c>
      <c r="F18" s="510">
        <f>SUM(E18:E18)*(1-22%)</f>
        <v>34788</v>
      </c>
      <c r="G18" s="30">
        <f>F18*B18</f>
        <v>0</v>
      </c>
      <c r="H18" s="510">
        <f>F18*0.03137+I13/12</f>
        <v>1336.2995600000002</v>
      </c>
      <c r="I18" s="30">
        <f>H18*B18</f>
        <v>0</v>
      </c>
      <c r="J18" s="510">
        <f>F18*0.0274+I13/12</f>
        <v>1198.1912</v>
      </c>
      <c r="K18" s="30">
        <f>J18*B18</f>
        <v>0</v>
      </c>
      <c r="L18" s="30">
        <f>F18*0.0228+I13/12</f>
        <v>1038.1664000000001</v>
      </c>
      <c r="M18" s="30">
        <f>L18*B18</f>
        <v>0</v>
      </c>
      <c r="N18" s="30">
        <f>F18*0.0204+I13/12</f>
        <v>954.67520000000002</v>
      </c>
      <c r="O18" s="30">
        <f>N18*B18</f>
        <v>0</v>
      </c>
      <c r="P18" s="30">
        <f>F18*0.0185+I13/12</f>
        <v>888.57799999999997</v>
      </c>
      <c r="Q18" s="30">
        <f>P18*B18</f>
        <v>0</v>
      </c>
    </row>
    <row r="19" spans="1:18" s="198" customFormat="1" ht="15.75" customHeight="1" thickBot="1">
      <c r="A19" s="1250" t="s">
        <v>59</v>
      </c>
      <c r="B19" s="1251"/>
      <c r="C19" s="1251"/>
      <c r="D19" s="1251"/>
      <c r="E19" s="1251"/>
      <c r="F19" s="1251"/>
      <c r="G19" s="1251"/>
      <c r="H19" s="1251"/>
      <c r="I19" s="1251"/>
      <c r="J19" s="1251"/>
      <c r="K19" s="1251"/>
      <c r="L19" s="1251"/>
      <c r="M19" s="1251"/>
      <c r="N19" s="1251"/>
      <c r="O19" s="1251"/>
      <c r="P19" s="1251"/>
      <c r="Q19" s="1253"/>
    </row>
    <row r="20" spans="1:18" s="198" customFormat="1" ht="13.5" thickBot="1">
      <c r="A20" s="1006"/>
      <c r="B20" s="860"/>
      <c r="C20" s="935" t="s">
        <v>890</v>
      </c>
      <c r="D20" s="862" t="s">
        <v>4075</v>
      </c>
      <c r="E20" s="863">
        <v>1254</v>
      </c>
      <c r="F20" s="39">
        <f>E20*(1-20%)</f>
        <v>1003.2</v>
      </c>
      <c r="G20" s="599">
        <f>F20*B20</f>
        <v>0</v>
      </c>
      <c r="H20" s="39">
        <f>F20*0.03137</f>
        <v>31.470384000000003</v>
      </c>
      <c r="I20" s="599">
        <f>H20*B20</f>
        <v>0</v>
      </c>
      <c r="J20" s="39">
        <f>F20*0.0274</f>
        <v>27.487680000000001</v>
      </c>
      <c r="K20" s="599">
        <f>J20*B20</f>
        <v>0</v>
      </c>
      <c r="L20" s="39">
        <f>F20*0.0228</f>
        <v>22.872960000000003</v>
      </c>
      <c r="M20" s="39">
        <f>L20*B20</f>
        <v>0</v>
      </c>
      <c r="N20" s="39">
        <f>F20*0.0204</f>
        <v>20.465280000000003</v>
      </c>
      <c r="O20" s="39">
        <f>N20*B20</f>
        <v>0</v>
      </c>
      <c r="P20" s="39">
        <f>F20*0.0185</f>
        <v>18.559200000000001</v>
      </c>
      <c r="Q20" s="39">
        <f>P20*B20</f>
        <v>0</v>
      </c>
      <c r="R20" s="528"/>
    </row>
    <row r="21" spans="1:18" s="291" customFormat="1" ht="13.5" thickBot="1">
      <c r="A21" s="1172"/>
      <c r="B21" s="416"/>
      <c r="C21" s="709" t="s">
        <v>853</v>
      </c>
      <c r="D21" s="199" t="s">
        <v>854</v>
      </c>
      <c r="E21" s="512">
        <v>2700</v>
      </c>
      <c r="F21" s="594">
        <f>E21*(1-20%)</f>
        <v>2160</v>
      </c>
      <c r="G21" s="41">
        <f>F21*B21</f>
        <v>0</v>
      </c>
      <c r="H21" s="39">
        <f>F21*0.03137</f>
        <v>67.759200000000007</v>
      </c>
      <c r="I21" s="40">
        <f>H21*B21</f>
        <v>0</v>
      </c>
      <c r="J21" s="39">
        <f>F21*0.0274</f>
        <v>59.184000000000005</v>
      </c>
      <c r="K21" s="40">
        <f>J21*B21</f>
        <v>0</v>
      </c>
      <c r="L21" s="39">
        <f>F21*0.0228</f>
        <v>49.248000000000005</v>
      </c>
      <c r="M21" s="39">
        <f>L21*B21</f>
        <v>0</v>
      </c>
      <c r="N21" s="39">
        <f>F21*0.0204</f>
        <v>44.064</v>
      </c>
      <c r="O21" s="39">
        <f>N21*B21</f>
        <v>0</v>
      </c>
      <c r="P21" s="39">
        <f>F21*0.0185</f>
        <v>39.96</v>
      </c>
      <c r="Q21" s="39">
        <f>P21*B21</f>
        <v>0</v>
      </c>
      <c r="R21" s="528"/>
    </row>
    <row r="22" spans="1:18" s="291" customFormat="1" ht="13.5" thickBot="1">
      <c r="A22" s="1172"/>
      <c r="B22" s="416"/>
      <c r="C22" s="865" t="s">
        <v>839</v>
      </c>
      <c r="D22" s="865" t="s">
        <v>4065</v>
      </c>
      <c r="E22" s="866">
        <v>727</v>
      </c>
      <c r="F22" s="594">
        <f>E22*(1-20%)</f>
        <v>581.6</v>
      </c>
      <c r="G22" s="41">
        <f>F22*B22</f>
        <v>0</v>
      </c>
      <c r="H22" s="39">
        <f>F22*0.03137</f>
        <v>18.244792</v>
      </c>
      <c r="I22" s="40">
        <f>H22*B22</f>
        <v>0</v>
      </c>
      <c r="J22" s="39">
        <f>F22*0.0274</f>
        <v>15.935840000000001</v>
      </c>
      <c r="K22" s="40">
        <f>J22*B22</f>
        <v>0</v>
      </c>
      <c r="L22" s="39">
        <f>F22*0.0228</f>
        <v>13.260480000000001</v>
      </c>
      <c r="M22" s="39">
        <f>L22*B22</f>
        <v>0</v>
      </c>
      <c r="N22" s="39">
        <f>F22*0.0204</f>
        <v>11.864640000000001</v>
      </c>
      <c r="O22" s="39">
        <f>N22*B22</f>
        <v>0</v>
      </c>
      <c r="P22" s="39">
        <f>F22*0.0185</f>
        <v>10.759600000000001</v>
      </c>
      <c r="Q22" s="39">
        <f>P22*B22</f>
        <v>0</v>
      </c>
      <c r="R22" s="528"/>
    </row>
    <row r="23" spans="1:18" s="291" customFormat="1" ht="15">
      <c r="A23" s="519"/>
      <c r="B23" s="258"/>
      <c r="C23" s="258"/>
      <c r="D23" s="1008" t="s">
        <v>65</v>
      </c>
      <c r="E23" s="1088"/>
      <c r="F23" s="1261"/>
      <c r="G23" s="520">
        <f>SUM(G20:G22)+G18</f>
        <v>0</v>
      </c>
      <c r="H23" s="867" t="s">
        <v>67</v>
      </c>
      <c r="I23" s="520">
        <f>SUM(I20:I22)+I18</f>
        <v>0</v>
      </c>
      <c r="J23" s="867" t="s">
        <v>68</v>
      </c>
      <c r="K23" s="520">
        <f>SUM(K20:K22)+K18</f>
        <v>0</v>
      </c>
      <c r="L23" s="867" t="s">
        <v>69</v>
      </c>
      <c r="M23" s="520">
        <f>SUM(M20:M22)+M18</f>
        <v>0</v>
      </c>
      <c r="N23" s="867" t="s">
        <v>860</v>
      </c>
      <c r="O23" s="520">
        <f>SUM(O20:O22)+O18</f>
        <v>0</v>
      </c>
      <c r="P23" s="867" t="s">
        <v>861</v>
      </c>
      <c r="Q23" s="520">
        <f>SUM(Q20:Q22)+Q18</f>
        <v>0</v>
      </c>
    </row>
    <row r="24" spans="1:18" s="291" customFormat="1">
      <c r="A24" s="315"/>
      <c r="B24" s="256"/>
      <c r="C24" s="256"/>
      <c r="D24" s="315"/>
      <c r="E24" s="315"/>
      <c r="F24" s="868"/>
      <c r="G24" s="868"/>
      <c r="H24" s="869"/>
      <c r="I24" s="869"/>
      <c r="J24" s="869"/>
      <c r="K24" s="869"/>
      <c r="L24" s="869"/>
      <c r="M24" s="869"/>
      <c r="N24" s="869"/>
      <c r="O24" s="869"/>
      <c r="P24" s="869"/>
      <c r="Q24" s="869"/>
    </row>
    <row r="25" spans="1:18" s="291" customFormat="1" ht="15.75">
      <c r="A25" s="256"/>
      <c r="B25" s="521"/>
      <c r="C25" s="521"/>
      <c r="D25" s="522"/>
      <c r="E25" s="522"/>
      <c r="F25" s="870"/>
      <c r="G25" s="831"/>
      <c r="H25" s="271"/>
      <c r="I25" s="271"/>
      <c r="J25" s="271"/>
      <c r="K25" s="271"/>
      <c r="L25" s="271"/>
      <c r="M25" s="271"/>
      <c r="N25" s="271"/>
      <c r="O25" s="271"/>
      <c r="P25" s="271"/>
      <c r="Q25" s="271"/>
    </row>
    <row r="26" spans="1:18" s="519" customFormat="1">
      <c r="A26" s="256"/>
      <c r="B26" s="256"/>
      <c r="C26" s="256"/>
      <c r="D26" s="256"/>
      <c r="E26" s="256"/>
      <c r="F26" s="870"/>
      <c r="G26" s="831"/>
      <c r="H26" s="271"/>
      <c r="I26" s="271"/>
      <c r="J26" s="271"/>
      <c r="K26" s="271"/>
      <c r="L26" s="271"/>
      <c r="M26" s="271"/>
      <c r="N26" s="271"/>
      <c r="O26" s="271"/>
      <c r="P26" s="271"/>
      <c r="Q26" s="271"/>
    </row>
    <row r="27" spans="1:18" s="519" customFormat="1">
      <c r="A27" s="256"/>
      <c r="B27" s="256"/>
      <c r="C27" s="256"/>
      <c r="D27" s="256"/>
      <c r="E27" s="256"/>
      <c r="F27" s="831"/>
      <c r="G27" s="831"/>
      <c r="H27" s="271"/>
      <c r="I27" s="271"/>
      <c r="J27" s="271"/>
      <c r="K27" s="271"/>
      <c r="L27" s="271"/>
      <c r="M27" s="271"/>
      <c r="N27" s="271"/>
      <c r="O27" s="271"/>
      <c r="P27" s="271"/>
      <c r="Q27" s="271"/>
    </row>
    <row r="28" spans="1:18" s="524" customFormat="1" hidden="1">
      <c r="A28" s="256"/>
      <c r="B28" s="256"/>
      <c r="C28" s="256"/>
      <c r="D28" s="256"/>
      <c r="E28" s="256"/>
      <c r="F28" s="831"/>
      <c r="G28" s="831"/>
      <c r="H28" s="271"/>
      <c r="I28" s="271"/>
      <c r="J28" s="271"/>
      <c r="K28" s="271"/>
      <c r="L28" s="271"/>
      <c r="M28" s="271"/>
      <c r="N28" s="271"/>
      <c r="O28" s="271"/>
      <c r="P28" s="271"/>
      <c r="Q28" s="271"/>
    </row>
    <row r="29" spans="1:18" s="519" customFormat="1">
      <c r="A29" s="256"/>
      <c r="B29" s="256"/>
      <c r="C29" s="256"/>
      <c r="D29" s="256"/>
      <c r="E29" s="256"/>
      <c r="F29" s="333"/>
      <c r="G29" s="831"/>
      <c r="H29" s="256"/>
      <c r="I29" s="271"/>
      <c r="J29" s="256"/>
      <c r="K29" s="271"/>
      <c r="L29" s="256"/>
      <c r="M29" s="271"/>
      <c r="N29" s="256"/>
      <c r="O29" s="271"/>
      <c r="P29" s="256"/>
      <c r="Q29" s="271"/>
    </row>
    <row r="30" spans="1:18" s="315" customFormat="1">
      <c r="A30" s="256"/>
      <c r="B30" s="256"/>
      <c r="C30" s="256"/>
      <c r="D30" s="256"/>
      <c r="E30" s="256"/>
      <c r="F30" s="333"/>
      <c r="G30" s="333"/>
      <c r="H30" s="256"/>
      <c r="I30" s="256"/>
      <c r="J30" s="256"/>
      <c r="K30" s="256"/>
      <c r="L30" s="256"/>
      <c r="M30" s="256"/>
      <c r="N30" s="256"/>
      <c r="O30" s="256"/>
      <c r="P30" s="256"/>
      <c r="Q30" s="256"/>
    </row>
    <row r="36" spans="2:12">
      <c r="L36" s="859">
        <f>F36*0.0256</f>
        <v>0</v>
      </c>
    </row>
    <row r="43" spans="2:12">
      <c r="B43" s="258"/>
      <c r="C43" s="258"/>
    </row>
  </sheetData>
  <mergeCells count="13">
    <mergeCell ref="D23:F23"/>
    <mergeCell ref="A4:O4"/>
    <mergeCell ref="A5:O5"/>
    <mergeCell ref="H8:J8"/>
    <mergeCell ref="A11:Q11"/>
    <mergeCell ref="A12:Q12"/>
    <mergeCell ref="A13:H13"/>
    <mergeCell ref="I13:Q13"/>
    <mergeCell ref="A14:Q14"/>
    <mergeCell ref="F16:G16"/>
    <mergeCell ref="H16:Q16"/>
    <mergeCell ref="A19:Q19"/>
    <mergeCell ref="A20:A22"/>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E86E-1216-41CB-B0CC-81669C990FD5}">
  <sheetPr>
    <tabColor rgb="FFFF0000"/>
  </sheetPr>
  <dimension ref="A1:R53"/>
  <sheetViews>
    <sheetView topLeftCell="E13" zoomScale="86" zoomScaleNormal="86" workbookViewId="0">
      <selection activeCell="K25" sqref="K2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0.2851562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920</v>
      </c>
      <c r="B4" s="1020"/>
      <c r="C4" s="1020"/>
      <c r="D4" s="1020"/>
      <c r="E4" s="1020"/>
      <c r="F4" s="1020"/>
      <c r="G4" s="1020"/>
      <c r="H4" s="1020"/>
      <c r="I4" s="1020"/>
      <c r="J4" s="1020"/>
      <c r="K4" s="1020"/>
      <c r="L4" s="1020"/>
      <c r="M4" s="1020"/>
      <c r="N4" s="1020"/>
      <c r="O4" s="1020"/>
    </row>
    <row r="5" spans="1:18" s="266" customFormat="1" ht="41.25" customHeight="1">
      <c r="A5" s="1188" t="s">
        <v>921</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D8" s="277"/>
      <c r="E8" s="277"/>
      <c r="H8" s="270"/>
    </row>
    <row r="9" spans="1:18" s="265" customFormat="1" ht="12" customHeight="1">
      <c r="F9" s="446"/>
      <c r="G9" s="446"/>
      <c r="H9" s="270"/>
      <c r="I9" s="282"/>
      <c r="J9" s="282"/>
      <c r="L9" s="282"/>
    </row>
    <row r="10" spans="1:18" s="265" customFormat="1" ht="18.75" thickBot="1">
      <c r="A10" s="1263" t="s">
        <v>30</v>
      </c>
      <c r="B10" s="1230"/>
      <c r="C10" s="1230"/>
      <c r="D10" s="1230"/>
      <c r="E10" s="1230"/>
      <c r="F10" s="1230"/>
      <c r="G10" s="1230"/>
      <c r="H10" s="1230"/>
      <c r="I10" s="1230"/>
      <c r="J10" s="1230"/>
      <c r="K10" s="1230"/>
      <c r="L10" s="1230"/>
      <c r="M10" s="1230"/>
      <c r="N10" s="1230"/>
      <c r="O10" s="1230"/>
      <c r="P10" s="1230"/>
      <c r="Q10" s="1230"/>
    </row>
    <row r="11" spans="1:18" s="265" customFormat="1" ht="18" customHeight="1">
      <c r="A11" s="1264" t="s">
        <v>918</v>
      </c>
      <c r="B11" s="1265"/>
      <c r="C11" s="1265"/>
      <c r="D11" s="1265"/>
      <c r="E11" s="1265"/>
      <c r="F11" s="1265"/>
      <c r="G11" s="1265"/>
      <c r="H11" s="1265"/>
      <c r="I11" s="1265"/>
      <c r="J11" s="1265"/>
      <c r="K11" s="1265"/>
      <c r="L11" s="1265"/>
      <c r="M11" s="1265"/>
      <c r="N11" s="1265"/>
      <c r="O11" s="1265"/>
      <c r="P11" s="1265"/>
      <c r="Q11" s="1266"/>
    </row>
    <row r="12" spans="1:18" s="265" customFormat="1" ht="18" customHeight="1">
      <c r="A12" s="1219" t="s">
        <v>845</v>
      </c>
      <c r="B12" s="1220"/>
      <c r="C12" s="1220"/>
      <c r="D12" s="1220"/>
      <c r="E12" s="1220"/>
      <c r="F12" s="1220"/>
      <c r="G12" s="1220"/>
      <c r="H12" s="1220"/>
      <c r="I12" s="1255">
        <v>2348</v>
      </c>
      <c r="J12" s="1255"/>
      <c r="K12" s="1255"/>
      <c r="L12" s="1255"/>
      <c r="M12" s="1255"/>
      <c r="N12" s="1255"/>
      <c r="O12" s="1255"/>
      <c r="P12" s="1255"/>
      <c r="Q12" s="1267"/>
    </row>
    <row r="13" spans="1:18" s="265" customFormat="1" ht="18" customHeight="1" thickBot="1">
      <c r="A13" s="1221" t="s">
        <v>846</v>
      </c>
      <c r="B13" s="1222"/>
      <c r="C13" s="1222"/>
      <c r="D13" s="1222"/>
      <c r="E13" s="1222"/>
      <c r="F13" s="1222"/>
      <c r="G13" s="1222"/>
      <c r="H13" s="1222"/>
      <c r="I13" s="1222"/>
      <c r="J13" s="1222"/>
      <c r="K13" s="1222"/>
      <c r="L13" s="1222"/>
      <c r="M13" s="1222"/>
      <c r="N13" s="1222"/>
      <c r="O13" s="1222"/>
      <c r="P13" s="1222"/>
      <c r="Q13" s="1223"/>
    </row>
    <row r="14" spans="1:18" s="265" customFormat="1" ht="15" thickBot="1">
      <c r="D14" s="277"/>
      <c r="E14" s="277"/>
      <c r="F14" s="283"/>
      <c r="G14" s="283"/>
      <c r="I14" s="288"/>
      <c r="J14" s="288"/>
      <c r="K14" s="288"/>
      <c r="L14" s="288"/>
    </row>
    <row r="15" spans="1:18" s="265" customFormat="1" ht="13.5" thickBot="1">
      <c r="F15" s="1021" t="s">
        <v>43</v>
      </c>
      <c r="G15" s="1022"/>
      <c r="H15" s="1268" t="s">
        <v>44</v>
      </c>
      <c r="I15" s="1269"/>
      <c r="J15" s="1269"/>
      <c r="K15" s="1269"/>
      <c r="L15" s="1269"/>
      <c r="M15" s="1269"/>
      <c r="N15" s="1269"/>
      <c r="O15" s="1269"/>
      <c r="P15" s="1269"/>
      <c r="Q15" s="1269"/>
    </row>
    <row r="16" spans="1:18" s="265" customFormat="1" ht="57.75" customHeight="1" thickBot="1">
      <c r="A16" s="188" t="s">
        <v>45</v>
      </c>
      <c r="B16" s="188" t="s">
        <v>46</v>
      </c>
      <c r="C16" s="189" t="s">
        <v>47</v>
      </c>
      <c r="D16" s="189" t="s">
        <v>48</v>
      </c>
      <c r="E16" s="189" t="s">
        <v>49</v>
      </c>
      <c r="F16" s="189" t="s">
        <v>50</v>
      </c>
      <c r="G16" s="188" t="s">
        <v>51</v>
      </c>
      <c r="H16" s="189" t="s">
        <v>53</v>
      </c>
      <c r="I16" s="188" t="s">
        <v>51</v>
      </c>
      <c r="J16" s="189" t="s">
        <v>54</v>
      </c>
      <c r="K16" s="188" t="s">
        <v>51</v>
      </c>
      <c r="L16" s="189" t="s">
        <v>55</v>
      </c>
      <c r="M16" s="188" t="s">
        <v>51</v>
      </c>
      <c r="N16" s="189" t="s">
        <v>847</v>
      </c>
      <c r="O16" s="188" t="s">
        <v>51</v>
      </c>
      <c r="P16" s="189" t="s">
        <v>848</v>
      </c>
      <c r="Q16" s="188" t="s">
        <v>51</v>
      </c>
    </row>
    <row r="17" spans="1:18" s="265" customFormat="1" ht="46.5" customHeight="1" thickBot="1">
      <c r="A17" s="1270">
        <v>42</v>
      </c>
      <c r="B17" s="1271"/>
      <c r="C17" s="192" t="s">
        <v>922</v>
      </c>
      <c r="D17" s="206" t="s">
        <v>923</v>
      </c>
      <c r="E17" s="194">
        <v>35981.199999999997</v>
      </c>
      <c r="F17" s="510">
        <f>SUM(E17:E18)*(1-20%)</f>
        <v>28992.16</v>
      </c>
      <c r="G17" s="1123">
        <f>F17*B17</f>
        <v>0</v>
      </c>
      <c r="H17" s="510">
        <f>F17*0.03137+I12/12</f>
        <v>1105.1507258666668</v>
      </c>
      <c r="I17" s="1123">
        <f>H17*B17</f>
        <v>0</v>
      </c>
      <c r="J17" s="510">
        <f>F17*0.0274+I12/12</f>
        <v>990.05185066666661</v>
      </c>
      <c r="K17" s="1123">
        <f>J17*B17</f>
        <v>0</v>
      </c>
      <c r="L17" s="30">
        <f>F17*0.0228+I12/12</f>
        <v>856.68791466666664</v>
      </c>
      <c r="M17" s="1123">
        <f>L17*B17</f>
        <v>0</v>
      </c>
      <c r="N17" s="30">
        <f>F17*0.0204+I12/12</f>
        <v>787.10673066666664</v>
      </c>
      <c r="O17" s="1123">
        <f>N17*B17</f>
        <v>0</v>
      </c>
      <c r="P17" s="30">
        <f>F17*0.0185+I12/12</f>
        <v>732.02162666666663</v>
      </c>
      <c r="Q17" s="1123">
        <f>P17*B17</f>
        <v>0</v>
      </c>
    </row>
    <row r="18" spans="1:18" s="265" customFormat="1" ht="13.5" thickBot="1">
      <c r="A18" s="1270"/>
      <c r="B18" s="1271"/>
      <c r="C18" s="709" t="s">
        <v>424</v>
      </c>
      <c r="D18" s="199" t="s">
        <v>57</v>
      </c>
      <c r="E18" s="512">
        <v>259</v>
      </c>
      <c r="F18" s="710" t="s">
        <v>35</v>
      </c>
      <c r="G18" s="1272"/>
      <c r="H18" s="513" t="s">
        <v>35</v>
      </c>
      <c r="I18" s="1272"/>
      <c r="J18" s="513" t="s">
        <v>35</v>
      </c>
      <c r="K18" s="1272"/>
      <c r="L18" s="513" t="s">
        <v>35</v>
      </c>
      <c r="M18" s="1272"/>
      <c r="N18" s="513" t="s">
        <v>35</v>
      </c>
      <c r="O18" s="1272"/>
      <c r="P18" s="513" t="s">
        <v>35</v>
      </c>
      <c r="Q18" s="1124"/>
    </row>
    <row r="19" spans="1:18" s="198" customFormat="1" ht="15.75" customHeight="1" thickBot="1">
      <c r="A19" s="1273" t="s">
        <v>59</v>
      </c>
      <c r="B19" s="1274"/>
      <c r="C19" s="1251"/>
      <c r="D19" s="1251"/>
      <c r="E19" s="1251"/>
      <c r="F19" s="1251"/>
      <c r="G19" s="1251"/>
      <c r="H19" s="1251"/>
      <c r="I19" s="1251"/>
      <c r="J19" s="1251"/>
      <c r="K19" s="1251"/>
      <c r="L19" s="1251"/>
      <c r="M19" s="1251"/>
      <c r="N19" s="1251"/>
      <c r="O19" s="1251"/>
      <c r="P19" s="1251"/>
      <c r="Q19" s="1253"/>
    </row>
    <row r="20" spans="1:18" s="198" customFormat="1" ht="13.5" thickBot="1">
      <c r="A20" s="1006"/>
      <c r="B20" s="860"/>
      <c r="C20" s="861" t="s">
        <v>924</v>
      </c>
      <c r="D20" s="862" t="s">
        <v>895</v>
      </c>
      <c r="E20" s="863">
        <v>4123.7113402061859</v>
      </c>
      <c r="F20" s="39">
        <f>E20*(1-20%)</f>
        <v>3298.969072164949</v>
      </c>
      <c r="G20" s="599">
        <f t="shared" ref="G20:G32" si="0">F20*B20</f>
        <v>0</v>
      </c>
      <c r="H20" s="39">
        <f t="shared" ref="H20:H32" si="1">F20*0.03137</f>
        <v>103.48865979381446</v>
      </c>
      <c r="I20" s="599">
        <f t="shared" ref="I20:I32" si="2">H20*B20</f>
        <v>0</v>
      </c>
      <c r="J20" s="39">
        <f t="shared" ref="J20:J32" si="3">F20*0.0274</f>
        <v>90.391752577319608</v>
      </c>
      <c r="K20" s="599">
        <f t="shared" ref="K20:K32" si="4">J20*B20</f>
        <v>0</v>
      </c>
      <c r="L20" s="39">
        <f t="shared" ref="L20:L32" si="5">F20*0.0228</f>
        <v>75.216494845360842</v>
      </c>
      <c r="M20" s="39">
        <f t="shared" ref="M20:M32" si="6">L20*B20</f>
        <v>0</v>
      </c>
      <c r="N20" s="39">
        <f t="shared" ref="N20:N32" si="7">F20*0.0204</f>
        <v>67.298969072164965</v>
      </c>
      <c r="O20" s="39">
        <f t="shared" ref="O20:O32" si="8">N20*B20</f>
        <v>0</v>
      </c>
      <c r="P20" s="39">
        <f>F20*0.0185</f>
        <v>61.030927835051557</v>
      </c>
      <c r="Q20" s="39">
        <f>P20*B20</f>
        <v>0</v>
      </c>
      <c r="R20" s="528"/>
    </row>
    <row r="21" spans="1:18" s="519" customFormat="1" ht="13.5" thickBot="1">
      <c r="A21" s="1172"/>
      <c r="B21" s="416"/>
      <c r="C21" s="864" t="s">
        <v>865</v>
      </c>
      <c r="D21" s="865" t="s">
        <v>925</v>
      </c>
      <c r="E21" s="866">
        <v>12881.443298969072</v>
      </c>
      <c r="F21" s="594">
        <f t="shared" ref="F21:F32" si="9">E21*(1-20%)</f>
        <v>10305.154639175258</v>
      </c>
      <c r="G21" s="41">
        <f>F21*B21</f>
        <v>0</v>
      </c>
      <c r="H21" s="39">
        <f t="shared" si="1"/>
        <v>323.27270103092786</v>
      </c>
      <c r="I21" s="40">
        <f>H21*B21</f>
        <v>0</v>
      </c>
      <c r="J21" s="39">
        <f t="shared" si="3"/>
        <v>282.36123711340207</v>
      </c>
      <c r="K21" s="40">
        <f>J21*B21</f>
        <v>0</v>
      </c>
      <c r="L21" s="39">
        <f t="shared" si="5"/>
        <v>234.9575257731959</v>
      </c>
      <c r="M21" s="39">
        <f>L21*B21</f>
        <v>0</v>
      </c>
      <c r="N21" s="39">
        <f t="shared" si="7"/>
        <v>210.22515463917529</v>
      </c>
      <c r="O21" s="39">
        <f>N21*B21</f>
        <v>0</v>
      </c>
      <c r="P21" s="39">
        <f t="shared" ref="P21:P32" si="10">F21*0.0185</f>
        <v>190.64536082474226</v>
      </c>
      <c r="Q21" s="39">
        <f t="shared" ref="Q21:Q32" si="11">P21*B21</f>
        <v>0</v>
      </c>
      <c r="R21" s="528"/>
    </row>
    <row r="22" spans="1:18" s="291" customFormat="1" ht="13.5" thickBot="1">
      <c r="A22" s="1172"/>
      <c r="B22" s="416"/>
      <c r="C22" s="864" t="s">
        <v>867</v>
      </c>
      <c r="D22" s="865" t="s">
        <v>926</v>
      </c>
      <c r="E22" s="866">
        <v>20097.938144329899</v>
      </c>
      <c r="F22" s="594">
        <f t="shared" si="9"/>
        <v>16078.350515463921</v>
      </c>
      <c r="G22" s="41">
        <f t="shared" si="0"/>
        <v>0</v>
      </c>
      <c r="H22" s="39">
        <f t="shared" si="1"/>
        <v>504.3778556701032</v>
      </c>
      <c r="I22" s="40">
        <f t="shared" si="2"/>
        <v>0</v>
      </c>
      <c r="J22" s="39">
        <f t="shared" si="3"/>
        <v>440.54680412371141</v>
      </c>
      <c r="K22" s="40">
        <f t="shared" si="4"/>
        <v>0</v>
      </c>
      <c r="L22" s="39">
        <f t="shared" si="5"/>
        <v>366.58639175257741</v>
      </c>
      <c r="M22" s="39">
        <f t="shared" si="6"/>
        <v>0</v>
      </c>
      <c r="N22" s="39">
        <f t="shared" si="7"/>
        <v>327.99835051546398</v>
      </c>
      <c r="O22" s="39">
        <f t="shared" si="8"/>
        <v>0</v>
      </c>
      <c r="P22" s="39">
        <f t="shared" si="10"/>
        <v>297.44948453608254</v>
      </c>
      <c r="Q22" s="39">
        <f t="shared" si="11"/>
        <v>0</v>
      </c>
      <c r="R22" s="528"/>
    </row>
    <row r="23" spans="1:18" s="291" customFormat="1" ht="13.5" thickBot="1">
      <c r="A23" s="1172"/>
      <c r="B23" s="416"/>
      <c r="C23" s="864" t="s">
        <v>869</v>
      </c>
      <c r="D23" s="865" t="s">
        <v>902</v>
      </c>
      <c r="E23" s="866">
        <v>1546.3917525773197</v>
      </c>
      <c r="F23" s="594">
        <f t="shared" si="9"/>
        <v>1237.1134020618558</v>
      </c>
      <c r="G23" s="41">
        <f t="shared" si="0"/>
        <v>0</v>
      </c>
      <c r="H23" s="39">
        <f t="shared" si="1"/>
        <v>38.808247422680417</v>
      </c>
      <c r="I23" s="40">
        <f t="shared" si="2"/>
        <v>0</v>
      </c>
      <c r="J23" s="39">
        <f t="shared" si="3"/>
        <v>33.896907216494853</v>
      </c>
      <c r="K23" s="40">
        <f t="shared" si="4"/>
        <v>0</v>
      </c>
      <c r="L23" s="39">
        <f t="shared" si="5"/>
        <v>28.206185567010312</v>
      </c>
      <c r="M23" s="39">
        <f t="shared" si="6"/>
        <v>0</v>
      </c>
      <c r="N23" s="39">
        <f t="shared" si="7"/>
        <v>25.237113402061862</v>
      </c>
      <c r="O23" s="39">
        <f t="shared" si="8"/>
        <v>0</v>
      </c>
      <c r="P23" s="39">
        <f t="shared" si="10"/>
        <v>22.88659793814433</v>
      </c>
      <c r="Q23" s="39">
        <f t="shared" si="11"/>
        <v>0</v>
      </c>
      <c r="R23" s="528"/>
    </row>
    <row r="24" spans="1:18" s="291" customFormat="1" ht="13.5" thickBot="1">
      <c r="A24" s="1172"/>
      <c r="B24" s="416"/>
      <c r="C24" s="864" t="s">
        <v>871</v>
      </c>
      <c r="D24" s="865" t="s">
        <v>927</v>
      </c>
      <c r="E24" s="866">
        <v>1443.2989690721649</v>
      </c>
      <c r="F24" s="594">
        <f t="shared" si="9"/>
        <v>1154.6391752577319</v>
      </c>
      <c r="G24" s="41">
        <f t="shared" si="0"/>
        <v>0</v>
      </c>
      <c r="H24" s="39">
        <f t="shared" si="1"/>
        <v>36.221030927835052</v>
      </c>
      <c r="I24" s="40">
        <f t="shared" si="2"/>
        <v>0</v>
      </c>
      <c r="J24" s="39">
        <f t="shared" si="3"/>
        <v>31.637113402061857</v>
      </c>
      <c r="K24" s="40">
        <f t="shared" si="4"/>
        <v>0</v>
      </c>
      <c r="L24" s="39">
        <f t="shared" si="5"/>
        <v>26.325773195876291</v>
      </c>
      <c r="M24" s="39">
        <f t="shared" si="6"/>
        <v>0</v>
      </c>
      <c r="N24" s="39">
        <f t="shared" si="7"/>
        <v>23.554639175257734</v>
      </c>
      <c r="O24" s="39">
        <f t="shared" si="8"/>
        <v>0</v>
      </c>
      <c r="P24" s="39">
        <f t="shared" si="10"/>
        <v>21.36082474226804</v>
      </c>
      <c r="Q24" s="39">
        <f t="shared" si="11"/>
        <v>0</v>
      </c>
      <c r="R24" s="528"/>
    </row>
    <row r="25" spans="1:18" s="291" customFormat="1" ht="13.5" thickBot="1">
      <c r="A25" s="1172"/>
      <c r="B25" s="416"/>
      <c r="C25" s="864" t="s">
        <v>873</v>
      </c>
      <c r="D25" s="865" t="s">
        <v>928</v>
      </c>
      <c r="E25" s="866">
        <v>1443.2989690721649</v>
      </c>
      <c r="F25" s="594">
        <f t="shared" si="9"/>
        <v>1154.6391752577319</v>
      </c>
      <c r="G25" s="41">
        <f t="shared" si="0"/>
        <v>0</v>
      </c>
      <c r="H25" s="39">
        <f t="shared" si="1"/>
        <v>36.221030927835052</v>
      </c>
      <c r="I25" s="40">
        <f t="shared" si="2"/>
        <v>0</v>
      </c>
      <c r="J25" s="39">
        <f t="shared" si="3"/>
        <v>31.637113402061857</v>
      </c>
      <c r="K25" s="40">
        <f t="shared" si="4"/>
        <v>0</v>
      </c>
      <c r="L25" s="39">
        <f t="shared" si="5"/>
        <v>26.325773195876291</v>
      </c>
      <c r="M25" s="39">
        <f t="shared" si="6"/>
        <v>0</v>
      </c>
      <c r="N25" s="39">
        <f t="shared" si="7"/>
        <v>23.554639175257734</v>
      </c>
      <c r="O25" s="39">
        <f t="shared" si="8"/>
        <v>0</v>
      </c>
      <c r="P25" s="39">
        <f t="shared" si="10"/>
        <v>21.36082474226804</v>
      </c>
      <c r="Q25" s="39">
        <f t="shared" si="11"/>
        <v>0</v>
      </c>
      <c r="R25" s="528"/>
    </row>
    <row r="26" spans="1:18" s="291" customFormat="1" ht="12.6" customHeight="1" thickBot="1">
      <c r="A26" s="1172"/>
      <c r="B26" s="416"/>
      <c r="C26" s="864" t="s">
        <v>875</v>
      </c>
      <c r="D26" s="865" t="s">
        <v>929</v>
      </c>
      <c r="E26" s="866">
        <v>1237.1134020618556</v>
      </c>
      <c r="F26" s="594">
        <f t="shared" si="9"/>
        <v>989.69072164948454</v>
      </c>
      <c r="G26" s="41">
        <f t="shared" si="0"/>
        <v>0</v>
      </c>
      <c r="H26" s="39">
        <f t="shared" si="1"/>
        <v>31.04659793814433</v>
      </c>
      <c r="I26" s="40">
        <f t="shared" si="2"/>
        <v>0</v>
      </c>
      <c r="J26" s="39">
        <f t="shared" si="3"/>
        <v>27.117525773195876</v>
      </c>
      <c r="K26" s="40">
        <f t="shared" si="4"/>
        <v>0</v>
      </c>
      <c r="L26" s="39">
        <f t="shared" si="5"/>
        <v>22.564948453608249</v>
      </c>
      <c r="M26" s="39">
        <f t="shared" si="6"/>
        <v>0</v>
      </c>
      <c r="N26" s="39">
        <f t="shared" si="7"/>
        <v>20.189690721649487</v>
      </c>
      <c r="O26" s="39">
        <f t="shared" si="8"/>
        <v>0</v>
      </c>
      <c r="P26" s="39">
        <f t="shared" si="10"/>
        <v>18.309278350515463</v>
      </c>
      <c r="Q26" s="39">
        <f t="shared" si="11"/>
        <v>0</v>
      </c>
      <c r="R26" s="528"/>
    </row>
    <row r="27" spans="1:18" s="519" customFormat="1" ht="26.25" thickBot="1">
      <c r="A27" s="1172"/>
      <c r="B27" s="416"/>
      <c r="C27" s="864" t="s">
        <v>877</v>
      </c>
      <c r="D27" s="865" t="s">
        <v>930</v>
      </c>
      <c r="E27" s="866">
        <v>1237.1134020618556</v>
      </c>
      <c r="F27" s="594">
        <f t="shared" si="9"/>
        <v>989.69072164948454</v>
      </c>
      <c r="G27" s="41">
        <f>F27*B27</f>
        <v>0</v>
      </c>
      <c r="H27" s="39">
        <f t="shared" si="1"/>
        <v>31.04659793814433</v>
      </c>
      <c r="I27" s="40">
        <f>H27*B27</f>
        <v>0</v>
      </c>
      <c r="J27" s="39">
        <f t="shared" si="3"/>
        <v>27.117525773195876</v>
      </c>
      <c r="K27" s="40">
        <f>J27*B27</f>
        <v>0</v>
      </c>
      <c r="L27" s="39">
        <f t="shared" si="5"/>
        <v>22.564948453608249</v>
      </c>
      <c r="M27" s="39">
        <f>L27*B27</f>
        <v>0</v>
      </c>
      <c r="N27" s="39">
        <f t="shared" si="7"/>
        <v>20.189690721649487</v>
      </c>
      <c r="O27" s="39">
        <f>N27*B27</f>
        <v>0</v>
      </c>
      <c r="P27" s="39">
        <f t="shared" si="10"/>
        <v>18.309278350515463</v>
      </c>
      <c r="Q27" s="39">
        <f t="shared" si="11"/>
        <v>0</v>
      </c>
      <c r="R27" s="528"/>
    </row>
    <row r="28" spans="1:18" s="291" customFormat="1" ht="13.5" thickBot="1">
      <c r="A28" s="1172"/>
      <c r="B28" s="416"/>
      <c r="C28" s="864" t="s">
        <v>879</v>
      </c>
      <c r="D28" s="865" t="s">
        <v>931</v>
      </c>
      <c r="E28" s="866">
        <v>1025.7731958762886</v>
      </c>
      <c r="F28" s="594">
        <f t="shared" si="9"/>
        <v>820.61855670103091</v>
      </c>
      <c r="G28" s="41">
        <f>F28*B28</f>
        <v>0</v>
      </c>
      <c r="H28" s="39">
        <f t="shared" si="1"/>
        <v>25.742804123711341</v>
      </c>
      <c r="I28" s="40">
        <f>H28*B28</f>
        <v>0</v>
      </c>
      <c r="J28" s="39">
        <f t="shared" si="3"/>
        <v>22.484948453608247</v>
      </c>
      <c r="K28" s="40">
        <f>J28*B28</f>
        <v>0</v>
      </c>
      <c r="L28" s="39">
        <f t="shared" si="5"/>
        <v>18.710103092783505</v>
      </c>
      <c r="M28" s="39">
        <f>L28*B28</f>
        <v>0</v>
      </c>
      <c r="N28" s="39">
        <f t="shared" si="7"/>
        <v>16.740618556701033</v>
      </c>
      <c r="O28" s="39">
        <f>N28*B28</f>
        <v>0</v>
      </c>
      <c r="P28" s="39">
        <f t="shared" si="10"/>
        <v>15.181443298969072</v>
      </c>
      <c r="Q28" s="39">
        <f t="shared" si="11"/>
        <v>0</v>
      </c>
      <c r="R28" s="528"/>
    </row>
    <row r="29" spans="1:18" s="291" customFormat="1" ht="13.5" thickBot="1">
      <c r="A29" s="1172"/>
      <c r="B29" s="416"/>
      <c r="C29" s="864" t="s">
        <v>881</v>
      </c>
      <c r="D29" s="865" t="s">
        <v>932</v>
      </c>
      <c r="E29" s="866">
        <v>1025.7731958762886</v>
      </c>
      <c r="F29" s="594">
        <f t="shared" si="9"/>
        <v>820.61855670103091</v>
      </c>
      <c r="G29" s="41">
        <f>F29*B29</f>
        <v>0</v>
      </c>
      <c r="H29" s="39">
        <f t="shared" si="1"/>
        <v>25.742804123711341</v>
      </c>
      <c r="I29" s="40">
        <f>H29*B29</f>
        <v>0</v>
      </c>
      <c r="J29" s="39">
        <f t="shared" si="3"/>
        <v>22.484948453608247</v>
      </c>
      <c r="K29" s="40">
        <f>J29*B29</f>
        <v>0</v>
      </c>
      <c r="L29" s="39">
        <f t="shared" si="5"/>
        <v>18.710103092783505</v>
      </c>
      <c r="M29" s="39">
        <f>L29*B29</f>
        <v>0</v>
      </c>
      <c r="N29" s="39">
        <f t="shared" si="7"/>
        <v>16.740618556701033</v>
      </c>
      <c r="O29" s="39">
        <f>N29*B29</f>
        <v>0</v>
      </c>
      <c r="P29" s="39">
        <f t="shared" si="10"/>
        <v>15.181443298969072</v>
      </c>
      <c r="Q29" s="39">
        <f t="shared" si="11"/>
        <v>0</v>
      </c>
      <c r="R29" s="528"/>
    </row>
    <row r="30" spans="1:18" s="291" customFormat="1" ht="12.6" customHeight="1" thickBot="1">
      <c r="A30" s="1172"/>
      <c r="B30" s="416"/>
      <c r="C30" s="864" t="s">
        <v>933</v>
      </c>
      <c r="D30" s="865" t="s">
        <v>934</v>
      </c>
      <c r="E30" s="866">
        <v>1025.7731958762886</v>
      </c>
      <c r="F30" s="594">
        <f t="shared" si="9"/>
        <v>820.61855670103091</v>
      </c>
      <c r="G30" s="41">
        <f>F30*B30</f>
        <v>0</v>
      </c>
      <c r="H30" s="39">
        <f t="shared" si="1"/>
        <v>25.742804123711341</v>
      </c>
      <c r="I30" s="40">
        <f>H30*B30</f>
        <v>0</v>
      </c>
      <c r="J30" s="39">
        <f t="shared" si="3"/>
        <v>22.484948453608247</v>
      </c>
      <c r="K30" s="40">
        <f>J30*B30</f>
        <v>0</v>
      </c>
      <c r="L30" s="39">
        <f t="shared" si="5"/>
        <v>18.710103092783505</v>
      </c>
      <c r="M30" s="39">
        <f>L30*B30</f>
        <v>0</v>
      </c>
      <c r="N30" s="39">
        <f t="shared" si="7"/>
        <v>16.740618556701033</v>
      </c>
      <c r="O30" s="39">
        <f>N30*B30</f>
        <v>0</v>
      </c>
      <c r="P30" s="39">
        <f t="shared" si="10"/>
        <v>15.181443298969072</v>
      </c>
      <c r="Q30" s="39">
        <f t="shared" si="11"/>
        <v>0</v>
      </c>
      <c r="R30" s="528"/>
    </row>
    <row r="31" spans="1:18" s="291" customFormat="1" ht="13.5" thickBot="1">
      <c r="A31" s="1172"/>
      <c r="B31" s="416"/>
      <c r="C31" s="864" t="s">
        <v>883</v>
      </c>
      <c r="D31" s="865" t="s">
        <v>935</v>
      </c>
      <c r="E31" s="866">
        <v>1025.7731958762886</v>
      </c>
      <c r="F31" s="594">
        <f t="shared" si="9"/>
        <v>820.61855670103091</v>
      </c>
      <c r="G31" s="41">
        <f t="shared" si="0"/>
        <v>0</v>
      </c>
      <c r="H31" s="39">
        <f t="shared" si="1"/>
        <v>25.742804123711341</v>
      </c>
      <c r="I31" s="40">
        <f t="shared" si="2"/>
        <v>0</v>
      </c>
      <c r="J31" s="39">
        <f t="shared" si="3"/>
        <v>22.484948453608247</v>
      </c>
      <c r="K31" s="40">
        <f t="shared" si="4"/>
        <v>0</v>
      </c>
      <c r="L31" s="39">
        <f t="shared" si="5"/>
        <v>18.710103092783505</v>
      </c>
      <c r="M31" s="39">
        <f t="shared" si="6"/>
        <v>0</v>
      </c>
      <c r="N31" s="39">
        <f t="shared" si="7"/>
        <v>16.740618556701033</v>
      </c>
      <c r="O31" s="39">
        <f t="shared" si="8"/>
        <v>0</v>
      </c>
      <c r="P31" s="39">
        <f t="shared" si="10"/>
        <v>15.181443298969072</v>
      </c>
      <c r="Q31" s="39">
        <f t="shared" si="11"/>
        <v>0</v>
      </c>
      <c r="R31" s="528"/>
    </row>
    <row r="32" spans="1:18" s="291" customFormat="1" ht="13.5" thickBot="1">
      <c r="A32" s="1173"/>
      <c r="B32" s="416"/>
      <c r="C32" s="864" t="s">
        <v>885</v>
      </c>
      <c r="D32" s="865" t="s">
        <v>936</v>
      </c>
      <c r="E32" s="866">
        <v>1025.7731958762886</v>
      </c>
      <c r="F32" s="594">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28"/>
    </row>
    <row r="33" spans="1:17" s="291" customFormat="1" ht="15">
      <c r="A33" s="519"/>
      <c r="B33" s="258"/>
      <c r="C33" s="258"/>
      <c r="D33" s="1008" t="s">
        <v>65</v>
      </c>
      <c r="E33" s="1088"/>
      <c r="F33" s="1261"/>
      <c r="G33" s="520">
        <f>SUM(G20:G32)+G17</f>
        <v>0</v>
      </c>
      <c r="H33" s="867" t="s">
        <v>67</v>
      </c>
      <c r="I33" s="520">
        <f>SUM(I20:I32)+I17</f>
        <v>0</v>
      </c>
      <c r="J33" s="867" t="s">
        <v>68</v>
      </c>
      <c r="K33" s="520">
        <f>SUM(K20:K32)+K17</f>
        <v>0</v>
      </c>
      <c r="L33" s="867" t="s">
        <v>69</v>
      </c>
      <c r="M33" s="520">
        <f>SUM(M20:M32)+M17</f>
        <v>0</v>
      </c>
      <c r="N33" s="867" t="s">
        <v>860</v>
      </c>
      <c r="O33" s="520">
        <f>SUM(O20:O32)+O17</f>
        <v>0</v>
      </c>
      <c r="P33" s="867" t="s">
        <v>861</v>
      </c>
      <c r="Q33" s="520">
        <f>SUM(Q20:Q32)+Q17</f>
        <v>0</v>
      </c>
    </row>
    <row r="34" spans="1:17" s="291" customFormat="1">
      <c r="A34" s="315"/>
      <c r="B34" s="256"/>
      <c r="C34" s="256"/>
      <c r="D34" s="315"/>
      <c r="E34" s="315"/>
      <c r="F34" s="868"/>
      <c r="G34" s="868"/>
      <c r="H34" s="869"/>
      <c r="I34" s="869"/>
      <c r="J34" s="869"/>
      <c r="K34" s="869"/>
      <c r="L34" s="869"/>
      <c r="M34" s="869"/>
      <c r="N34" s="869"/>
      <c r="O34" s="869"/>
      <c r="P34" s="869"/>
      <c r="Q34" s="869"/>
    </row>
    <row r="35" spans="1:17" s="291" customFormat="1" ht="15.75">
      <c r="A35" s="256"/>
      <c r="B35" s="521"/>
      <c r="C35" s="521"/>
      <c r="D35" s="522"/>
      <c r="E35" s="522"/>
      <c r="F35" s="870"/>
      <c r="G35" s="831"/>
      <c r="H35" s="271"/>
      <c r="I35" s="271"/>
      <c r="J35" s="271"/>
      <c r="K35" s="271"/>
      <c r="L35" s="271"/>
      <c r="M35" s="271"/>
      <c r="N35" s="271"/>
      <c r="O35" s="271"/>
      <c r="P35" s="271"/>
      <c r="Q35" s="271"/>
    </row>
    <row r="36" spans="1:17" s="519" customFormat="1">
      <c r="A36" s="256"/>
      <c r="B36" s="256"/>
      <c r="C36" s="256"/>
      <c r="D36" s="256"/>
      <c r="E36" s="256"/>
      <c r="F36" s="870"/>
      <c r="G36" s="831"/>
      <c r="H36" s="271"/>
      <c r="I36" s="271"/>
      <c r="J36" s="271"/>
      <c r="K36" s="271"/>
      <c r="L36" s="271"/>
      <c r="M36" s="271"/>
      <c r="N36" s="271"/>
      <c r="O36" s="271"/>
      <c r="P36" s="271"/>
      <c r="Q36" s="271"/>
    </row>
    <row r="37" spans="1:17" s="519" customFormat="1">
      <c r="A37" s="256"/>
      <c r="B37" s="256"/>
      <c r="C37" s="256"/>
      <c r="D37" s="256"/>
      <c r="E37" s="256"/>
      <c r="F37" s="831"/>
      <c r="G37" s="831"/>
      <c r="H37" s="271"/>
      <c r="I37" s="271"/>
      <c r="J37" s="271"/>
      <c r="K37" s="271"/>
      <c r="L37" s="271"/>
      <c r="M37" s="271"/>
      <c r="N37" s="271"/>
      <c r="O37" s="271"/>
      <c r="P37" s="271"/>
      <c r="Q37" s="271"/>
    </row>
    <row r="38" spans="1:17" s="524" customFormat="1" hidden="1">
      <c r="A38" s="256"/>
      <c r="B38" s="256"/>
      <c r="C38" s="256"/>
      <c r="D38" s="256"/>
      <c r="E38" s="256"/>
      <c r="F38" s="831"/>
      <c r="G38" s="831"/>
      <c r="H38" s="271"/>
      <c r="I38" s="271"/>
      <c r="J38" s="271"/>
      <c r="K38" s="271"/>
      <c r="L38" s="271"/>
      <c r="M38" s="271"/>
      <c r="N38" s="271"/>
      <c r="O38" s="271"/>
      <c r="P38" s="271"/>
      <c r="Q38" s="271"/>
    </row>
    <row r="39" spans="1:17" s="519" customFormat="1">
      <c r="A39" s="256"/>
      <c r="B39" s="256"/>
      <c r="C39" s="256"/>
      <c r="D39" s="256"/>
      <c r="E39" s="256"/>
      <c r="F39" s="333"/>
      <c r="G39" s="831"/>
      <c r="H39" s="256"/>
      <c r="I39" s="271"/>
      <c r="J39" s="256"/>
      <c r="K39" s="271"/>
      <c r="L39" s="859">
        <f>F39*0.0256</f>
        <v>0</v>
      </c>
      <c r="M39" s="271"/>
      <c r="N39" s="256"/>
      <c r="O39" s="271"/>
      <c r="P39" s="256"/>
      <c r="Q39" s="271"/>
    </row>
    <row r="40" spans="1:17" s="315" customFormat="1">
      <c r="A40" s="256"/>
      <c r="B40" s="256"/>
      <c r="C40" s="256"/>
      <c r="D40" s="256"/>
      <c r="E40" s="256"/>
      <c r="F40" s="333"/>
      <c r="G40" s="333"/>
      <c r="H40" s="256"/>
      <c r="I40" s="256"/>
      <c r="J40" s="256"/>
      <c r="K40" s="256"/>
      <c r="L40" s="256"/>
      <c r="M40" s="256"/>
      <c r="N40" s="256"/>
      <c r="O40" s="256"/>
      <c r="P40" s="256"/>
      <c r="Q40" s="256"/>
    </row>
    <row r="53" spans="2:3">
      <c r="B53" s="258"/>
      <c r="C53" s="258"/>
    </row>
  </sheetData>
  <mergeCells count="20">
    <mergeCell ref="A4:O4"/>
    <mergeCell ref="A5:O5"/>
    <mergeCell ref="A10:Q10"/>
    <mergeCell ref="A11:Q11"/>
    <mergeCell ref="A12:H12"/>
    <mergeCell ref="I12:Q12"/>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3794C-0D47-4E1D-9FDF-39EE9D371E35}">
  <sheetPr>
    <tabColor rgb="FFFF0000"/>
  </sheetPr>
  <dimension ref="A1:R57"/>
  <sheetViews>
    <sheetView topLeftCell="C9" zoomScale="73" zoomScaleNormal="73" workbookViewId="0">
      <selection activeCell="K25" sqref="K2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1.8554687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989</v>
      </c>
      <c r="B4" s="1020"/>
      <c r="C4" s="1020"/>
      <c r="D4" s="1020"/>
      <c r="E4" s="1020"/>
      <c r="F4" s="1020"/>
      <c r="G4" s="1020"/>
      <c r="H4" s="1020"/>
      <c r="I4" s="1020"/>
      <c r="J4" s="1020"/>
      <c r="K4" s="1020"/>
      <c r="L4" s="1020"/>
      <c r="M4" s="1020"/>
      <c r="N4" s="1020"/>
      <c r="O4" s="1020"/>
    </row>
    <row r="5" spans="1:18" s="266" customFormat="1" ht="41.25" customHeight="1">
      <c r="A5" s="1188" t="s">
        <v>990</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D8" s="277"/>
      <c r="E8" s="277"/>
      <c r="H8" s="270"/>
    </row>
    <row r="9" spans="1:18" s="265" customFormat="1" ht="12" customHeight="1">
      <c r="F9" s="446"/>
      <c r="G9" s="446"/>
      <c r="H9" s="270"/>
      <c r="I9" s="282"/>
      <c r="J9" s="282"/>
      <c r="L9" s="282"/>
    </row>
    <row r="10" spans="1:18" s="265" customFormat="1" ht="18.75" thickBot="1">
      <c r="A10" s="1263" t="s">
        <v>30</v>
      </c>
      <c r="B10" s="1230"/>
      <c r="C10" s="1230"/>
      <c r="D10" s="1230"/>
      <c r="E10" s="1230"/>
      <c r="F10" s="1230"/>
      <c r="G10" s="1230"/>
      <c r="H10" s="1230"/>
      <c r="I10" s="1230"/>
      <c r="J10" s="1230"/>
      <c r="K10" s="1230"/>
      <c r="L10" s="1230"/>
      <c r="M10" s="1230"/>
      <c r="N10" s="1230"/>
      <c r="O10" s="1230"/>
      <c r="P10" s="1230"/>
      <c r="Q10" s="1230"/>
    </row>
    <row r="11" spans="1:18" s="265" customFormat="1" ht="18" customHeight="1">
      <c r="A11" s="1264" t="s">
        <v>991</v>
      </c>
      <c r="B11" s="1265"/>
      <c r="C11" s="1265"/>
      <c r="D11" s="1265"/>
      <c r="E11" s="1265"/>
      <c r="F11" s="1265"/>
      <c r="G11" s="1265"/>
      <c r="H11" s="1265"/>
      <c r="I11" s="1265"/>
      <c r="J11" s="1265"/>
      <c r="K11" s="1265"/>
      <c r="L11" s="1265"/>
      <c r="M11" s="1265"/>
      <c r="N11" s="1265"/>
      <c r="O11" s="1265"/>
      <c r="P11" s="1265"/>
      <c r="Q11" s="1266"/>
    </row>
    <row r="12" spans="1:18" s="265" customFormat="1" ht="18" customHeight="1">
      <c r="A12" s="1219" t="s">
        <v>845</v>
      </c>
      <c r="B12" s="1220"/>
      <c r="C12" s="1220"/>
      <c r="D12" s="1220"/>
      <c r="E12" s="1220"/>
      <c r="F12" s="1220"/>
      <c r="G12" s="1220"/>
      <c r="H12" s="1220"/>
      <c r="I12" s="1255">
        <v>5498</v>
      </c>
      <c r="J12" s="1255"/>
      <c r="K12" s="1255"/>
      <c r="L12" s="1255"/>
      <c r="M12" s="1255"/>
      <c r="N12" s="1255"/>
      <c r="O12" s="1255"/>
      <c r="P12" s="1255"/>
      <c r="Q12" s="1267"/>
    </row>
    <row r="13" spans="1:18" s="265" customFormat="1" ht="18" customHeight="1" thickBot="1">
      <c r="A13" s="1221" t="s">
        <v>846</v>
      </c>
      <c r="B13" s="1222"/>
      <c r="C13" s="1222"/>
      <c r="D13" s="1222"/>
      <c r="E13" s="1222"/>
      <c r="F13" s="1222"/>
      <c r="G13" s="1222"/>
      <c r="H13" s="1222"/>
      <c r="I13" s="1222"/>
      <c r="J13" s="1222"/>
      <c r="K13" s="1222"/>
      <c r="L13" s="1222"/>
      <c r="M13" s="1222"/>
      <c r="N13" s="1222"/>
      <c r="O13" s="1222"/>
      <c r="P13" s="1222"/>
      <c r="Q13" s="1223"/>
    </row>
    <row r="14" spans="1:18" s="265" customFormat="1" ht="15" thickBot="1">
      <c r="D14" s="277"/>
      <c r="E14" s="277"/>
      <c r="F14" s="283"/>
      <c r="G14" s="283"/>
      <c r="I14" s="288"/>
      <c r="J14" s="288"/>
      <c r="K14" s="288"/>
      <c r="L14" s="288"/>
    </row>
    <row r="15" spans="1:18" s="265" customFormat="1" ht="13.5" thickBot="1">
      <c r="F15" s="1021" t="s">
        <v>43</v>
      </c>
      <c r="G15" s="1022"/>
      <c r="H15" s="1268" t="s">
        <v>44</v>
      </c>
      <c r="I15" s="1269"/>
      <c r="J15" s="1269"/>
      <c r="K15" s="1269"/>
      <c r="L15" s="1269"/>
      <c r="M15" s="1269"/>
      <c r="N15" s="1269"/>
      <c r="O15" s="1269"/>
      <c r="P15" s="1269"/>
      <c r="Q15" s="1269"/>
    </row>
    <row r="16" spans="1:18" s="265" customFormat="1" ht="57.75" customHeight="1" thickBot="1">
      <c r="A16" s="188" t="s">
        <v>45</v>
      </c>
      <c r="B16" s="188" t="s">
        <v>46</v>
      </c>
      <c r="C16" s="189" t="s">
        <v>47</v>
      </c>
      <c r="D16" s="189" t="s">
        <v>48</v>
      </c>
      <c r="E16" s="189" t="s">
        <v>49</v>
      </c>
      <c r="F16" s="189" t="s">
        <v>50</v>
      </c>
      <c r="G16" s="188" t="s">
        <v>51</v>
      </c>
      <c r="H16" s="189" t="s">
        <v>53</v>
      </c>
      <c r="I16" s="188" t="s">
        <v>51</v>
      </c>
      <c r="J16" s="189" t="s">
        <v>54</v>
      </c>
      <c r="K16" s="188" t="s">
        <v>51</v>
      </c>
      <c r="L16" s="189" t="s">
        <v>55</v>
      </c>
      <c r="M16" s="188" t="s">
        <v>51</v>
      </c>
      <c r="N16" s="189" t="s">
        <v>847</v>
      </c>
      <c r="O16" s="188" t="s">
        <v>51</v>
      </c>
      <c r="P16" s="189" t="s">
        <v>848</v>
      </c>
      <c r="Q16" s="188" t="s">
        <v>51</v>
      </c>
    </row>
    <row r="17" spans="1:18" s="265" customFormat="1" ht="46.5" customHeight="1" thickBot="1">
      <c r="A17" s="1270">
        <v>43</v>
      </c>
      <c r="B17" s="1271"/>
      <c r="C17" s="192" t="s">
        <v>992</v>
      </c>
      <c r="D17" s="206" t="s">
        <v>989</v>
      </c>
      <c r="E17" s="194">
        <v>38761.61</v>
      </c>
      <c r="F17" s="510">
        <f>SUM(E17:E18)*(1-20%)</f>
        <v>31216.488000000001</v>
      </c>
      <c r="G17" s="1123">
        <f>F17*B17</f>
        <v>0</v>
      </c>
      <c r="H17" s="510">
        <f>F17*0.03137+I12/12</f>
        <v>1437.4278952266668</v>
      </c>
      <c r="I17" s="1123">
        <f>H17*B17</f>
        <v>0</v>
      </c>
      <c r="J17" s="510">
        <f>F17*0.0274+I12/12</f>
        <v>1313.4984378666668</v>
      </c>
      <c r="K17" s="1123">
        <f>J17*B17</f>
        <v>0</v>
      </c>
      <c r="L17" s="30">
        <f>F17*0.0228+I12/12</f>
        <v>1169.9025930666667</v>
      </c>
      <c r="M17" s="1123">
        <f>L17*B17</f>
        <v>0</v>
      </c>
      <c r="N17" s="30">
        <f>F17*0.0204+I12/12</f>
        <v>1094.9830218666668</v>
      </c>
      <c r="O17" s="1123">
        <f>N17*B17</f>
        <v>0</v>
      </c>
      <c r="P17" s="30">
        <f>F17*0.0185+I12/12</f>
        <v>1035.6716946666668</v>
      </c>
      <c r="Q17" s="1123">
        <f>P17*B17</f>
        <v>0</v>
      </c>
    </row>
    <row r="18" spans="1:18" s="265" customFormat="1" ht="13.5" thickBot="1">
      <c r="A18" s="1270"/>
      <c r="B18" s="1271"/>
      <c r="C18" s="709" t="s">
        <v>424</v>
      </c>
      <c r="D18" s="199" t="s">
        <v>57</v>
      </c>
      <c r="E18" s="512">
        <v>259</v>
      </c>
      <c r="F18" s="710" t="s">
        <v>35</v>
      </c>
      <c r="G18" s="1272"/>
      <c r="H18" s="513" t="s">
        <v>35</v>
      </c>
      <c r="I18" s="1272"/>
      <c r="J18" s="513" t="s">
        <v>35</v>
      </c>
      <c r="K18" s="1272"/>
      <c r="L18" s="513" t="s">
        <v>35</v>
      </c>
      <c r="M18" s="1272"/>
      <c r="N18" s="513" t="s">
        <v>35</v>
      </c>
      <c r="O18" s="1272"/>
      <c r="P18" s="513" t="s">
        <v>35</v>
      </c>
      <c r="Q18" s="1124"/>
    </row>
    <row r="19" spans="1:18" s="198" customFormat="1" ht="15.75" customHeight="1" thickBot="1">
      <c r="A19" s="1273" t="s">
        <v>59</v>
      </c>
      <c r="B19" s="1274"/>
      <c r="C19" s="1251"/>
      <c r="D19" s="1251"/>
      <c r="E19" s="1251"/>
      <c r="F19" s="1251"/>
      <c r="G19" s="1251"/>
      <c r="H19" s="1251"/>
      <c r="I19" s="1251"/>
      <c r="J19" s="1251"/>
      <c r="K19" s="1251"/>
      <c r="L19" s="1251"/>
      <c r="M19" s="1251"/>
      <c r="N19" s="1251"/>
      <c r="O19" s="1251"/>
      <c r="P19" s="1251"/>
      <c r="Q19" s="1253"/>
    </row>
    <row r="20" spans="1:18" s="198" customFormat="1" ht="13.5" thickBot="1">
      <c r="A20" s="1006"/>
      <c r="B20" s="860"/>
      <c r="C20" s="861" t="s">
        <v>924</v>
      </c>
      <c r="D20" s="862" t="s">
        <v>895</v>
      </c>
      <c r="E20" s="863">
        <v>4123.7113402061859</v>
      </c>
      <c r="F20" s="39">
        <f>E20*(1-20%)</f>
        <v>3298.969072164949</v>
      </c>
      <c r="G20" s="599">
        <f t="shared" ref="G20:G36" si="0">F20*B20</f>
        <v>0</v>
      </c>
      <c r="H20" s="39">
        <f t="shared" ref="H20:H36" si="1">F20*0.03137</f>
        <v>103.48865979381446</v>
      </c>
      <c r="I20" s="599">
        <f t="shared" ref="I20:I36" si="2">H20*B20</f>
        <v>0</v>
      </c>
      <c r="J20" s="39">
        <f t="shared" ref="J20:J36" si="3">F20*0.0274</f>
        <v>90.391752577319608</v>
      </c>
      <c r="K20" s="599">
        <f t="shared" ref="K20:K36" si="4">J20*B20</f>
        <v>0</v>
      </c>
      <c r="L20" s="39">
        <f t="shared" ref="L20:L36" si="5">F20*0.0228</f>
        <v>75.216494845360842</v>
      </c>
      <c r="M20" s="39">
        <f t="shared" ref="M20:M36" si="6">L20*B20</f>
        <v>0</v>
      </c>
      <c r="N20" s="39">
        <f t="shared" ref="N20:N36" si="7">F20*0.0204</f>
        <v>67.298969072164965</v>
      </c>
      <c r="O20" s="39">
        <f t="shared" ref="O20:O36" si="8">N20*B20</f>
        <v>0</v>
      </c>
      <c r="P20" s="39">
        <f>F20*0.0185</f>
        <v>61.030927835051557</v>
      </c>
      <c r="Q20" s="39">
        <f>P20*B20</f>
        <v>0</v>
      </c>
      <c r="R20" s="528"/>
    </row>
    <row r="21" spans="1:18" s="519" customFormat="1" ht="13.5" thickBot="1">
      <c r="A21" s="1172"/>
      <c r="B21" s="416"/>
      <c r="C21" s="864" t="s">
        <v>966</v>
      </c>
      <c r="D21" s="865" t="s">
        <v>993</v>
      </c>
      <c r="E21" s="866">
        <v>3402.0618556701033</v>
      </c>
      <c r="F21" s="594">
        <f t="shared" ref="F21:F36" si="9">E21*(1-20%)</f>
        <v>2721.649484536083</v>
      </c>
      <c r="G21" s="41">
        <f>F21*B21</f>
        <v>0</v>
      </c>
      <c r="H21" s="39">
        <f t="shared" si="1"/>
        <v>85.378144329896926</v>
      </c>
      <c r="I21" s="40">
        <f>H21*B21</f>
        <v>0</v>
      </c>
      <c r="J21" s="39">
        <f t="shared" si="3"/>
        <v>74.573195876288679</v>
      </c>
      <c r="K21" s="40">
        <f>J21*B21</f>
        <v>0</v>
      </c>
      <c r="L21" s="39">
        <f t="shared" si="5"/>
        <v>62.053608247422694</v>
      </c>
      <c r="M21" s="39">
        <f>L21*B21</f>
        <v>0</v>
      </c>
      <c r="N21" s="39">
        <f t="shared" si="7"/>
        <v>55.521649484536098</v>
      </c>
      <c r="O21" s="39">
        <f>N21*B21</f>
        <v>0</v>
      </c>
      <c r="P21" s="39">
        <f t="shared" ref="P21:P36" si="10">F21*0.0185</f>
        <v>50.350515463917532</v>
      </c>
      <c r="Q21" s="39">
        <f t="shared" ref="Q21:Q36" si="11">P21*B21</f>
        <v>0</v>
      </c>
      <c r="R21" s="528"/>
    </row>
    <row r="22" spans="1:18" s="291" customFormat="1" ht="13.5" thickBot="1">
      <c r="A22" s="1172"/>
      <c r="B22" s="416"/>
      <c r="C22" s="864" t="s">
        <v>994</v>
      </c>
      <c r="D22" s="865" t="s">
        <v>995</v>
      </c>
      <c r="E22" s="866">
        <v>3402.0618556701033</v>
      </c>
      <c r="F22" s="594">
        <f t="shared" si="9"/>
        <v>2721.649484536083</v>
      </c>
      <c r="G22" s="41">
        <f t="shared" si="0"/>
        <v>0</v>
      </c>
      <c r="H22" s="39">
        <f t="shared" si="1"/>
        <v>85.378144329896926</v>
      </c>
      <c r="I22" s="40">
        <f t="shared" si="2"/>
        <v>0</v>
      </c>
      <c r="J22" s="39">
        <f t="shared" si="3"/>
        <v>74.573195876288679</v>
      </c>
      <c r="K22" s="40">
        <f t="shared" si="4"/>
        <v>0</v>
      </c>
      <c r="L22" s="39">
        <f t="shared" si="5"/>
        <v>62.053608247422694</v>
      </c>
      <c r="M22" s="39">
        <f t="shared" si="6"/>
        <v>0</v>
      </c>
      <c r="N22" s="39">
        <f t="shared" si="7"/>
        <v>55.521649484536098</v>
      </c>
      <c r="O22" s="39">
        <f t="shared" si="8"/>
        <v>0</v>
      </c>
      <c r="P22" s="39">
        <f t="shared" si="10"/>
        <v>50.350515463917532</v>
      </c>
      <c r="Q22" s="39">
        <f t="shared" si="11"/>
        <v>0</v>
      </c>
      <c r="R22" s="528"/>
    </row>
    <row r="23" spans="1:18" s="291" customFormat="1" ht="13.5" thickBot="1">
      <c r="A23" s="1172"/>
      <c r="B23" s="416"/>
      <c r="C23" s="864" t="s">
        <v>996</v>
      </c>
      <c r="D23" s="865" t="s">
        <v>997</v>
      </c>
      <c r="E23" s="866">
        <v>37113.402061855668</v>
      </c>
      <c r="F23" s="594">
        <f t="shared" si="9"/>
        <v>29690.721649484534</v>
      </c>
      <c r="G23" s="41">
        <f t="shared" si="0"/>
        <v>0</v>
      </c>
      <c r="H23" s="39">
        <f t="shared" si="1"/>
        <v>931.39793814432994</v>
      </c>
      <c r="I23" s="40">
        <f t="shared" si="2"/>
        <v>0</v>
      </c>
      <c r="J23" s="39">
        <f t="shared" si="3"/>
        <v>813.52577319587624</v>
      </c>
      <c r="K23" s="40">
        <f t="shared" si="4"/>
        <v>0</v>
      </c>
      <c r="L23" s="39">
        <f t="shared" si="5"/>
        <v>676.94845360824741</v>
      </c>
      <c r="M23" s="39">
        <f t="shared" si="6"/>
        <v>0</v>
      </c>
      <c r="N23" s="39">
        <f t="shared" si="7"/>
        <v>605.69072164948454</v>
      </c>
      <c r="O23" s="39">
        <f t="shared" si="8"/>
        <v>0</v>
      </c>
      <c r="P23" s="39">
        <f t="shared" si="10"/>
        <v>549.2783505154639</v>
      </c>
      <c r="Q23" s="39">
        <f t="shared" si="11"/>
        <v>0</v>
      </c>
      <c r="R23" s="528"/>
    </row>
    <row r="24" spans="1:18" s="291" customFormat="1" ht="13.5" thickBot="1">
      <c r="A24" s="1172"/>
      <c r="B24" s="416"/>
      <c r="C24" s="864" t="s">
        <v>998</v>
      </c>
      <c r="D24" s="865" t="s">
        <v>999</v>
      </c>
      <c r="E24" s="866">
        <v>4123.7113402061859</v>
      </c>
      <c r="F24" s="594">
        <f t="shared" si="9"/>
        <v>3298.969072164949</v>
      </c>
      <c r="G24" s="41">
        <f t="shared" si="0"/>
        <v>0</v>
      </c>
      <c r="H24" s="39">
        <f t="shared" si="1"/>
        <v>103.48865979381446</v>
      </c>
      <c r="I24" s="40">
        <f t="shared" si="2"/>
        <v>0</v>
      </c>
      <c r="J24" s="39">
        <f t="shared" si="3"/>
        <v>90.391752577319608</v>
      </c>
      <c r="K24" s="40">
        <f t="shared" si="4"/>
        <v>0</v>
      </c>
      <c r="L24" s="39">
        <f t="shared" si="5"/>
        <v>75.216494845360842</v>
      </c>
      <c r="M24" s="39">
        <f t="shared" si="6"/>
        <v>0</v>
      </c>
      <c r="N24" s="39">
        <f t="shared" si="7"/>
        <v>67.298969072164965</v>
      </c>
      <c r="O24" s="39">
        <f t="shared" si="8"/>
        <v>0</v>
      </c>
      <c r="P24" s="39">
        <f t="shared" si="10"/>
        <v>61.030927835051557</v>
      </c>
      <c r="Q24" s="39">
        <f t="shared" si="11"/>
        <v>0</v>
      </c>
      <c r="R24" s="528"/>
    </row>
    <row r="25" spans="1:18" s="291" customFormat="1" ht="13.5" thickBot="1">
      <c r="A25" s="1172"/>
      <c r="B25" s="416"/>
      <c r="C25" s="864" t="s">
        <v>865</v>
      </c>
      <c r="D25" s="865" t="s">
        <v>1000</v>
      </c>
      <c r="E25" s="866">
        <v>12881.443298969072</v>
      </c>
      <c r="F25" s="594">
        <f t="shared" si="9"/>
        <v>10305.154639175258</v>
      </c>
      <c r="G25" s="41">
        <f t="shared" si="0"/>
        <v>0</v>
      </c>
      <c r="H25" s="39">
        <f t="shared" si="1"/>
        <v>323.27270103092786</v>
      </c>
      <c r="I25" s="40">
        <f t="shared" si="2"/>
        <v>0</v>
      </c>
      <c r="J25" s="39">
        <f t="shared" si="3"/>
        <v>282.36123711340207</v>
      </c>
      <c r="K25" s="40">
        <f t="shared" si="4"/>
        <v>0</v>
      </c>
      <c r="L25" s="39">
        <f t="shared" si="5"/>
        <v>234.9575257731959</v>
      </c>
      <c r="M25" s="39">
        <f t="shared" si="6"/>
        <v>0</v>
      </c>
      <c r="N25" s="39">
        <f t="shared" si="7"/>
        <v>210.22515463917529</v>
      </c>
      <c r="O25" s="39">
        <f t="shared" si="8"/>
        <v>0</v>
      </c>
      <c r="P25" s="39">
        <f t="shared" si="10"/>
        <v>190.64536082474226</v>
      </c>
      <c r="Q25" s="39">
        <f t="shared" si="11"/>
        <v>0</v>
      </c>
      <c r="R25" s="528"/>
    </row>
    <row r="26" spans="1:18" s="291" customFormat="1" ht="12.6" customHeight="1" thickBot="1">
      <c r="A26" s="1172"/>
      <c r="B26" s="416"/>
      <c r="C26" s="864" t="s">
        <v>867</v>
      </c>
      <c r="D26" s="865" t="s">
        <v>1001</v>
      </c>
      <c r="E26" s="866">
        <v>20097.938144329899</v>
      </c>
      <c r="F26" s="594">
        <f t="shared" si="9"/>
        <v>16078.350515463921</v>
      </c>
      <c r="G26" s="41">
        <f t="shared" si="0"/>
        <v>0</v>
      </c>
      <c r="H26" s="39">
        <f t="shared" si="1"/>
        <v>504.3778556701032</v>
      </c>
      <c r="I26" s="40">
        <f t="shared" si="2"/>
        <v>0</v>
      </c>
      <c r="J26" s="39">
        <f t="shared" si="3"/>
        <v>440.54680412371141</v>
      </c>
      <c r="K26" s="40">
        <f t="shared" si="4"/>
        <v>0</v>
      </c>
      <c r="L26" s="39">
        <f t="shared" si="5"/>
        <v>366.58639175257741</v>
      </c>
      <c r="M26" s="39">
        <f t="shared" si="6"/>
        <v>0</v>
      </c>
      <c r="N26" s="39">
        <f t="shared" si="7"/>
        <v>327.99835051546398</v>
      </c>
      <c r="O26" s="39">
        <f t="shared" si="8"/>
        <v>0</v>
      </c>
      <c r="P26" s="39">
        <f t="shared" si="10"/>
        <v>297.44948453608254</v>
      </c>
      <c r="Q26" s="39">
        <f t="shared" si="11"/>
        <v>0</v>
      </c>
      <c r="R26" s="528"/>
    </row>
    <row r="27" spans="1:18" s="291" customFormat="1" ht="13.5" thickBot="1">
      <c r="A27" s="1172"/>
      <c r="B27" s="416"/>
      <c r="C27" s="864" t="s">
        <v>869</v>
      </c>
      <c r="D27" s="865" t="s">
        <v>902</v>
      </c>
      <c r="E27" s="866">
        <v>1546.3917525773197</v>
      </c>
      <c r="F27" s="594">
        <f>E27*(1-20%)</f>
        <v>1237.1134020618558</v>
      </c>
      <c r="G27" s="41">
        <f t="shared" si="0"/>
        <v>0</v>
      </c>
      <c r="H27" s="39">
        <f t="shared" si="1"/>
        <v>38.808247422680417</v>
      </c>
      <c r="I27" s="40">
        <f t="shared" si="2"/>
        <v>0</v>
      </c>
      <c r="J27" s="39">
        <f t="shared" si="3"/>
        <v>33.896907216494853</v>
      </c>
      <c r="K27" s="40">
        <f t="shared" si="4"/>
        <v>0</v>
      </c>
      <c r="L27" s="39">
        <f t="shared" si="5"/>
        <v>28.206185567010312</v>
      </c>
      <c r="M27" s="39">
        <f t="shared" si="6"/>
        <v>0</v>
      </c>
      <c r="N27" s="39">
        <f t="shared" si="7"/>
        <v>25.237113402061862</v>
      </c>
      <c r="O27" s="39">
        <f t="shared" si="8"/>
        <v>0</v>
      </c>
      <c r="P27" s="39">
        <f>F27*0.0185</f>
        <v>22.88659793814433</v>
      </c>
      <c r="Q27" s="39">
        <f>P27*B27</f>
        <v>0</v>
      </c>
      <c r="R27" s="528"/>
    </row>
    <row r="28" spans="1:18" s="291" customFormat="1" ht="13.5" thickBot="1">
      <c r="A28" s="1172"/>
      <c r="B28" s="416"/>
      <c r="C28" s="864" t="s">
        <v>871</v>
      </c>
      <c r="D28" s="865" t="s">
        <v>927</v>
      </c>
      <c r="E28" s="866">
        <v>1443.2989690721649</v>
      </c>
      <c r="F28" s="594">
        <f>E28*(1-20%)</f>
        <v>1154.6391752577319</v>
      </c>
      <c r="G28" s="41">
        <f t="shared" si="0"/>
        <v>0</v>
      </c>
      <c r="H28" s="39">
        <f t="shared" si="1"/>
        <v>36.221030927835052</v>
      </c>
      <c r="I28" s="40">
        <f t="shared" si="2"/>
        <v>0</v>
      </c>
      <c r="J28" s="39">
        <f t="shared" si="3"/>
        <v>31.637113402061857</v>
      </c>
      <c r="K28" s="40">
        <f t="shared" si="4"/>
        <v>0</v>
      </c>
      <c r="L28" s="39">
        <f t="shared" si="5"/>
        <v>26.325773195876291</v>
      </c>
      <c r="M28" s="39">
        <f t="shared" si="6"/>
        <v>0</v>
      </c>
      <c r="N28" s="39">
        <f t="shared" si="7"/>
        <v>23.554639175257734</v>
      </c>
      <c r="O28" s="39">
        <f t="shared" si="8"/>
        <v>0</v>
      </c>
      <c r="P28" s="39">
        <f>F28*0.0185</f>
        <v>21.36082474226804</v>
      </c>
      <c r="Q28" s="39">
        <f>P28*B28</f>
        <v>0</v>
      </c>
      <c r="R28" s="528"/>
    </row>
    <row r="29" spans="1:18" s="291" customFormat="1" ht="13.5" thickBot="1">
      <c r="A29" s="1172"/>
      <c r="B29" s="416"/>
      <c r="C29" s="864" t="s">
        <v>873</v>
      </c>
      <c r="D29" s="865" t="s">
        <v>928</v>
      </c>
      <c r="E29" s="866">
        <v>1443.2989690721649</v>
      </c>
      <c r="F29" s="594">
        <f>E29*(1-20%)</f>
        <v>1154.6391752577319</v>
      </c>
      <c r="G29" s="41">
        <f t="shared" si="0"/>
        <v>0</v>
      </c>
      <c r="H29" s="39">
        <f t="shared" si="1"/>
        <v>36.221030927835052</v>
      </c>
      <c r="I29" s="40">
        <f t="shared" si="2"/>
        <v>0</v>
      </c>
      <c r="J29" s="39">
        <f t="shared" si="3"/>
        <v>31.637113402061857</v>
      </c>
      <c r="K29" s="40">
        <f t="shared" si="4"/>
        <v>0</v>
      </c>
      <c r="L29" s="39">
        <f t="shared" si="5"/>
        <v>26.325773195876291</v>
      </c>
      <c r="M29" s="39">
        <f t="shared" si="6"/>
        <v>0</v>
      </c>
      <c r="N29" s="39">
        <f t="shared" si="7"/>
        <v>23.554639175257734</v>
      </c>
      <c r="O29" s="39">
        <f t="shared" si="8"/>
        <v>0</v>
      </c>
      <c r="P29" s="39">
        <f>F29*0.0185</f>
        <v>21.36082474226804</v>
      </c>
      <c r="Q29" s="39">
        <f>P29*B29</f>
        <v>0</v>
      </c>
      <c r="R29" s="528"/>
    </row>
    <row r="30" spans="1:18" s="291" customFormat="1" ht="12.6" customHeight="1" thickBot="1">
      <c r="A30" s="1172"/>
      <c r="B30" s="416"/>
      <c r="C30" s="864" t="s">
        <v>1002</v>
      </c>
      <c r="D30" s="865" t="s">
        <v>1003</v>
      </c>
      <c r="E30" s="866">
        <v>2680.4123711340208</v>
      </c>
      <c r="F30" s="594">
        <f>E30*(1-20%)</f>
        <v>2144.3298969072166</v>
      </c>
      <c r="G30" s="41">
        <f t="shared" si="0"/>
        <v>0</v>
      </c>
      <c r="H30" s="39">
        <f t="shared" si="1"/>
        <v>67.26762886597939</v>
      </c>
      <c r="I30" s="40">
        <f t="shared" si="2"/>
        <v>0</v>
      </c>
      <c r="J30" s="39">
        <f t="shared" si="3"/>
        <v>58.754639175257736</v>
      </c>
      <c r="K30" s="40">
        <f t="shared" si="4"/>
        <v>0</v>
      </c>
      <c r="L30" s="39">
        <f t="shared" si="5"/>
        <v>48.89072164948454</v>
      </c>
      <c r="M30" s="39">
        <f t="shared" si="6"/>
        <v>0</v>
      </c>
      <c r="N30" s="39">
        <f t="shared" si="7"/>
        <v>43.744329896907225</v>
      </c>
      <c r="O30" s="39">
        <f t="shared" si="8"/>
        <v>0</v>
      </c>
      <c r="P30" s="39">
        <f>F30*0.0185</f>
        <v>39.670103092783506</v>
      </c>
      <c r="Q30" s="39">
        <f>P30*B30</f>
        <v>0</v>
      </c>
      <c r="R30" s="528"/>
    </row>
    <row r="31" spans="1:18" s="519" customFormat="1" ht="26.25" thickBot="1">
      <c r="A31" s="1172"/>
      <c r="B31" s="416"/>
      <c r="C31" s="864" t="s">
        <v>1004</v>
      </c>
      <c r="D31" s="865" t="s">
        <v>1005</v>
      </c>
      <c r="E31" s="866">
        <v>2680.4123711340208</v>
      </c>
      <c r="F31" s="594">
        <f t="shared" si="9"/>
        <v>2144.3298969072166</v>
      </c>
      <c r="G31" s="41">
        <f t="shared" si="0"/>
        <v>0</v>
      </c>
      <c r="H31" s="39">
        <f t="shared" si="1"/>
        <v>67.26762886597939</v>
      </c>
      <c r="I31" s="40">
        <f t="shared" si="2"/>
        <v>0</v>
      </c>
      <c r="J31" s="39">
        <f t="shared" si="3"/>
        <v>58.754639175257736</v>
      </c>
      <c r="K31" s="40">
        <f t="shared" si="4"/>
        <v>0</v>
      </c>
      <c r="L31" s="39">
        <f t="shared" si="5"/>
        <v>48.89072164948454</v>
      </c>
      <c r="M31" s="39">
        <f t="shared" si="6"/>
        <v>0</v>
      </c>
      <c r="N31" s="39">
        <f t="shared" si="7"/>
        <v>43.744329896907225</v>
      </c>
      <c r="O31" s="39">
        <f t="shared" si="8"/>
        <v>0</v>
      </c>
      <c r="P31" s="39">
        <f t="shared" si="10"/>
        <v>39.670103092783506</v>
      </c>
      <c r="Q31" s="39">
        <f t="shared" si="11"/>
        <v>0</v>
      </c>
      <c r="R31" s="528"/>
    </row>
    <row r="32" spans="1:18" s="291" customFormat="1" ht="13.5" thickBot="1">
      <c r="A32" s="1172"/>
      <c r="B32" s="416"/>
      <c r="C32" s="864" t="s">
        <v>879</v>
      </c>
      <c r="D32" s="865" t="s">
        <v>931</v>
      </c>
      <c r="E32" s="866">
        <v>1025.7731958762886</v>
      </c>
      <c r="F32" s="594">
        <f t="shared" si="9"/>
        <v>820.61855670103091</v>
      </c>
      <c r="G32" s="41">
        <f t="shared" si="0"/>
        <v>0</v>
      </c>
      <c r="H32" s="39">
        <f t="shared" si="1"/>
        <v>25.742804123711341</v>
      </c>
      <c r="I32" s="40">
        <f t="shared" si="2"/>
        <v>0</v>
      </c>
      <c r="J32" s="39">
        <f t="shared" si="3"/>
        <v>22.484948453608247</v>
      </c>
      <c r="K32" s="40">
        <f t="shared" si="4"/>
        <v>0</v>
      </c>
      <c r="L32" s="39">
        <f t="shared" si="5"/>
        <v>18.710103092783505</v>
      </c>
      <c r="M32" s="39">
        <f t="shared" si="6"/>
        <v>0</v>
      </c>
      <c r="N32" s="39">
        <f t="shared" si="7"/>
        <v>16.740618556701033</v>
      </c>
      <c r="O32" s="39">
        <f t="shared" si="8"/>
        <v>0</v>
      </c>
      <c r="P32" s="39">
        <f t="shared" si="10"/>
        <v>15.181443298969072</v>
      </c>
      <c r="Q32" s="39">
        <f t="shared" si="11"/>
        <v>0</v>
      </c>
      <c r="R32" s="528"/>
    </row>
    <row r="33" spans="1:18" s="291" customFormat="1" ht="13.5" thickBot="1">
      <c r="A33" s="1172"/>
      <c r="B33" s="416"/>
      <c r="C33" s="864" t="s">
        <v>881</v>
      </c>
      <c r="D33" s="865" t="s">
        <v>932</v>
      </c>
      <c r="E33" s="866">
        <v>1025.7731958762886</v>
      </c>
      <c r="F33" s="594">
        <f t="shared" si="9"/>
        <v>820.61855670103091</v>
      </c>
      <c r="G33" s="41">
        <f t="shared" si="0"/>
        <v>0</v>
      </c>
      <c r="H33" s="39">
        <f t="shared" si="1"/>
        <v>25.742804123711341</v>
      </c>
      <c r="I33" s="40">
        <f t="shared" si="2"/>
        <v>0</v>
      </c>
      <c r="J33" s="39">
        <f t="shared" si="3"/>
        <v>22.484948453608247</v>
      </c>
      <c r="K33" s="40">
        <f t="shared" si="4"/>
        <v>0</v>
      </c>
      <c r="L33" s="39">
        <f t="shared" si="5"/>
        <v>18.710103092783505</v>
      </c>
      <c r="M33" s="39">
        <f t="shared" si="6"/>
        <v>0</v>
      </c>
      <c r="N33" s="39">
        <f t="shared" si="7"/>
        <v>16.740618556701033</v>
      </c>
      <c r="O33" s="39">
        <f t="shared" si="8"/>
        <v>0</v>
      </c>
      <c r="P33" s="39">
        <f t="shared" si="10"/>
        <v>15.181443298969072</v>
      </c>
      <c r="Q33" s="39">
        <f t="shared" si="11"/>
        <v>0</v>
      </c>
      <c r="R33" s="528"/>
    </row>
    <row r="34" spans="1:18" s="291" customFormat="1" ht="12.6" customHeight="1" thickBot="1">
      <c r="A34" s="1172"/>
      <c r="B34" s="416"/>
      <c r="C34" s="864" t="s">
        <v>1006</v>
      </c>
      <c r="D34" s="865" t="s">
        <v>1007</v>
      </c>
      <c r="E34" s="866">
        <v>1025.7731958762886</v>
      </c>
      <c r="F34" s="594">
        <f t="shared" si="9"/>
        <v>820.61855670103091</v>
      </c>
      <c r="G34" s="41">
        <f t="shared" si="0"/>
        <v>0</v>
      </c>
      <c r="H34" s="39">
        <f t="shared" si="1"/>
        <v>25.742804123711341</v>
      </c>
      <c r="I34" s="40">
        <f t="shared" si="2"/>
        <v>0</v>
      </c>
      <c r="J34" s="39">
        <f t="shared" si="3"/>
        <v>22.484948453608247</v>
      </c>
      <c r="K34" s="40">
        <f t="shared" si="4"/>
        <v>0</v>
      </c>
      <c r="L34" s="39">
        <f t="shared" si="5"/>
        <v>18.710103092783505</v>
      </c>
      <c r="M34" s="39">
        <f t="shared" si="6"/>
        <v>0</v>
      </c>
      <c r="N34" s="39">
        <f t="shared" si="7"/>
        <v>16.740618556701033</v>
      </c>
      <c r="O34" s="39">
        <f t="shared" si="8"/>
        <v>0</v>
      </c>
      <c r="P34" s="39">
        <f t="shared" si="10"/>
        <v>15.181443298969072</v>
      </c>
      <c r="Q34" s="39">
        <f t="shared" si="11"/>
        <v>0</v>
      </c>
      <c r="R34" s="528"/>
    </row>
    <row r="35" spans="1:18" s="291" customFormat="1" ht="13.5" thickBot="1">
      <c r="A35" s="1172"/>
      <c r="B35" s="416"/>
      <c r="C35" s="864" t="s">
        <v>1008</v>
      </c>
      <c r="D35" s="865" t="s">
        <v>935</v>
      </c>
      <c r="E35" s="866">
        <v>1025.7731958762886</v>
      </c>
      <c r="F35" s="594">
        <f t="shared" si="9"/>
        <v>820.61855670103091</v>
      </c>
      <c r="G35" s="41">
        <f t="shared" si="0"/>
        <v>0</v>
      </c>
      <c r="H35" s="39">
        <f t="shared" si="1"/>
        <v>25.742804123711341</v>
      </c>
      <c r="I35" s="40">
        <f t="shared" si="2"/>
        <v>0</v>
      </c>
      <c r="J35" s="39">
        <f t="shared" si="3"/>
        <v>22.484948453608247</v>
      </c>
      <c r="K35" s="40">
        <f t="shared" si="4"/>
        <v>0</v>
      </c>
      <c r="L35" s="39">
        <f t="shared" si="5"/>
        <v>18.710103092783505</v>
      </c>
      <c r="M35" s="39">
        <f t="shared" si="6"/>
        <v>0</v>
      </c>
      <c r="N35" s="39">
        <f t="shared" si="7"/>
        <v>16.740618556701033</v>
      </c>
      <c r="O35" s="39">
        <f t="shared" si="8"/>
        <v>0</v>
      </c>
      <c r="P35" s="39">
        <f t="shared" si="10"/>
        <v>15.181443298969072</v>
      </c>
      <c r="Q35" s="39">
        <f t="shared" si="11"/>
        <v>0</v>
      </c>
      <c r="R35" s="528"/>
    </row>
    <row r="36" spans="1:18" s="291" customFormat="1" ht="13.5" thickBot="1">
      <c r="A36" s="1173"/>
      <c r="B36" s="416"/>
      <c r="C36" s="864" t="s">
        <v>1009</v>
      </c>
      <c r="D36" s="865" t="s">
        <v>936</v>
      </c>
      <c r="E36" s="866">
        <v>1025.7731958762886</v>
      </c>
      <c r="F36" s="594">
        <f t="shared" si="9"/>
        <v>820.61855670103091</v>
      </c>
      <c r="G36" s="41">
        <f t="shared" si="0"/>
        <v>0</v>
      </c>
      <c r="H36" s="39">
        <f t="shared" si="1"/>
        <v>25.742804123711341</v>
      </c>
      <c r="I36" s="40">
        <f t="shared" si="2"/>
        <v>0</v>
      </c>
      <c r="J36" s="39">
        <f t="shared" si="3"/>
        <v>22.484948453608247</v>
      </c>
      <c r="K36" s="40">
        <f t="shared" si="4"/>
        <v>0</v>
      </c>
      <c r="L36" s="39">
        <f t="shared" si="5"/>
        <v>18.710103092783505</v>
      </c>
      <c r="M36" s="39">
        <f t="shared" si="6"/>
        <v>0</v>
      </c>
      <c r="N36" s="39">
        <f t="shared" si="7"/>
        <v>16.740618556701033</v>
      </c>
      <c r="O36" s="39">
        <f t="shared" si="8"/>
        <v>0</v>
      </c>
      <c r="P36" s="39">
        <f t="shared" si="10"/>
        <v>15.181443298969072</v>
      </c>
      <c r="Q36" s="39">
        <f t="shared" si="11"/>
        <v>0</v>
      </c>
      <c r="R36" s="528"/>
    </row>
    <row r="37" spans="1:18" s="291" customFormat="1" ht="15">
      <c r="A37" s="519"/>
      <c r="B37" s="258"/>
      <c r="C37" s="258"/>
      <c r="D37" s="1008" t="s">
        <v>65</v>
      </c>
      <c r="E37" s="1088"/>
      <c r="F37" s="1261"/>
      <c r="G37" s="520">
        <f>SUM(G20:G36)+G17</f>
        <v>0</v>
      </c>
      <c r="H37" s="867" t="s">
        <v>67</v>
      </c>
      <c r="I37" s="520">
        <f>SUM(I20:I36)+I17</f>
        <v>0</v>
      </c>
      <c r="J37" s="867" t="s">
        <v>68</v>
      </c>
      <c r="K37" s="520">
        <f>SUM(K20:K36)+K17</f>
        <v>0</v>
      </c>
      <c r="L37" s="867" t="s">
        <v>69</v>
      </c>
      <c r="M37" s="520">
        <f>SUM(M20:M36)+M17</f>
        <v>0</v>
      </c>
      <c r="N37" s="867" t="s">
        <v>860</v>
      </c>
      <c r="O37" s="520">
        <f>SUM(O20:O36)+O17</f>
        <v>0</v>
      </c>
      <c r="P37" s="867" t="s">
        <v>861</v>
      </c>
      <c r="Q37" s="520">
        <f>SUM(Q20:Q36)+Q17</f>
        <v>0</v>
      </c>
    </row>
    <row r="38" spans="1:18" s="291" customFormat="1">
      <c r="A38" s="315"/>
      <c r="B38" s="256"/>
      <c r="C38" s="256"/>
      <c r="D38" s="315"/>
      <c r="E38" s="315"/>
      <c r="F38" s="868"/>
      <c r="G38" s="868"/>
      <c r="H38" s="869"/>
      <c r="I38" s="869"/>
      <c r="J38" s="869"/>
      <c r="K38" s="869"/>
      <c r="L38" s="869"/>
      <c r="M38" s="869"/>
      <c r="N38" s="869"/>
      <c r="O38" s="869"/>
      <c r="P38" s="869"/>
      <c r="Q38" s="869"/>
    </row>
    <row r="39" spans="1:18" s="291" customFormat="1" ht="15.75">
      <c r="A39" s="256"/>
      <c r="B39" s="521"/>
      <c r="C39" s="521"/>
      <c r="D39" s="522"/>
      <c r="E39" s="522"/>
      <c r="F39" s="870"/>
      <c r="G39" s="831"/>
      <c r="H39" s="271"/>
      <c r="I39" s="271"/>
      <c r="J39" s="271"/>
      <c r="K39" s="271"/>
      <c r="L39" s="874">
        <f>F39*0.0256</f>
        <v>0</v>
      </c>
      <c r="M39" s="271"/>
      <c r="N39" s="271"/>
      <c r="O39" s="271"/>
      <c r="P39" s="271"/>
      <c r="Q39" s="271"/>
    </row>
    <row r="40" spans="1:18" s="519" customFormat="1">
      <c r="A40" s="256"/>
      <c r="B40" s="256"/>
      <c r="C40" s="256"/>
      <c r="D40" s="256"/>
      <c r="E40" s="256"/>
      <c r="F40" s="870"/>
      <c r="G40" s="831"/>
      <c r="H40" s="271"/>
      <c r="I40" s="271"/>
      <c r="J40" s="271"/>
      <c r="K40" s="271"/>
      <c r="L40" s="271"/>
      <c r="M40" s="271"/>
      <c r="N40" s="271"/>
      <c r="O40" s="271"/>
      <c r="P40" s="271"/>
      <c r="Q40" s="271"/>
    </row>
    <row r="41" spans="1:18" s="519" customFormat="1">
      <c r="A41" s="256"/>
      <c r="B41" s="256"/>
      <c r="C41" s="256"/>
      <c r="D41" s="256"/>
      <c r="E41" s="256"/>
      <c r="F41" s="831"/>
      <c r="G41" s="831"/>
      <c r="H41" s="271"/>
      <c r="I41" s="271"/>
      <c r="J41" s="271"/>
      <c r="K41" s="271"/>
      <c r="L41" s="271"/>
      <c r="M41" s="271"/>
      <c r="N41" s="271"/>
      <c r="O41" s="271"/>
      <c r="P41" s="271"/>
      <c r="Q41" s="271"/>
    </row>
    <row r="42" spans="1:18" s="524" customFormat="1" hidden="1">
      <c r="A42" s="256"/>
      <c r="B42" s="256"/>
      <c r="C42" s="256"/>
      <c r="D42" s="256"/>
      <c r="E42" s="256"/>
      <c r="F42" s="831"/>
      <c r="G42" s="831"/>
      <c r="H42" s="271"/>
      <c r="I42" s="271"/>
      <c r="J42" s="271"/>
      <c r="K42" s="271"/>
      <c r="L42" s="271"/>
      <c r="M42" s="271"/>
      <c r="N42" s="271"/>
      <c r="O42" s="271"/>
      <c r="P42" s="271"/>
      <c r="Q42" s="271"/>
    </row>
    <row r="43" spans="1:18" s="519" customFormat="1">
      <c r="A43" s="256"/>
      <c r="B43" s="256"/>
      <c r="C43" s="256"/>
      <c r="D43" s="256"/>
      <c r="E43" s="256"/>
      <c r="F43" s="333"/>
      <c r="G43" s="831"/>
      <c r="H43" s="256"/>
      <c r="I43" s="271"/>
      <c r="J43" s="256"/>
      <c r="K43" s="271"/>
      <c r="L43" s="256"/>
      <c r="M43" s="271"/>
      <c r="N43" s="256"/>
      <c r="O43" s="271"/>
      <c r="P43" s="256"/>
      <c r="Q43" s="271"/>
    </row>
    <row r="44" spans="1:18" s="315" customFormat="1">
      <c r="A44" s="256"/>
      <c r="B44" s="256"/>
      <c r="C44" s="256"/>
      <c r="D44" s="256"/>
      <c r="E44" s="256"/>
      <c r="F44" s="333"/>
      <c r="G44" s="333"/>
      <c r="H44" s="256"/>
      <c r="I44" s="256"/>
      <c r="J44" s="256"/>
      <c r="K44" s="256"/>
      <c r="L44" s="256"/>
      <c r="M44" s="256"/>
      <c r="N44" s="256"/>
      <c r="O44" s="256"/>
      <c r="P44" s="256"/>
      <c r="Q44" s="256"/>
    </row>
    <row r="57" spans="2:3">
      <c r="B57" s="258"/>
      <c r="C57" s="258"/>
    </row>
  </sheetData>
  <mergeCells count="20">
    <mergeCell ref="A4:O4"/>
    <mergeCell ref="A5:O5"/>
    <mergeCell ref="A10:Q10"/>
    <mergeCell ref="A11:Q11"/>
    <mergeCell ref="A12:H12"/>
    <mergeCell ref="I12:Q12"/>
    <mergeCell ref="Q17:Q18"/>
    <mergeCell ref="A19:Q19"/>
    <mergeCell ref="A20:A36"/>
    <mergeCell ref="D37:F37"/>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D6A5-81E3-43DF-A9D7-C22DEC4D6816}">
  <sheetPr>
    <tabColor rgb="FFFF0000"/>
  </sheetPr>
  <dimension ref="A1:R40"/>
  <sheetViews>
    <sheetView zoomScale="84" zoomScaleNormal="84" workbookViewId="0">
      <selection activeCell="K25" sqref="K2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1010</v>
      </c>
      <c r="B4" s="1020"/>
      <c r="C4" s="1020"/>
      <c r="D4" s="1020"/>
      <c r="E4" s="1020"/>
      <c r="F4" s="1020"/>
      <c r="G4" s="1020"/>
      <c r="H4" s="1020"/>
      <c r="I4" s="1020"/>
      <c r="J4" s="1020"/>
      <c r="K4" s="1020"/>
      <c r="L4" s="1020"/>
      <c r="M4" s="1020"/>
      <c r="N4" s="1020"/>
      <c r="O4" s="1020"/>
    </row>
    <row r="5" spans="1:18" s="266" customFormat="1" ht="41.25" customHeight="1">
      <c r="A5" s="1188" t="s">
        <v>1011</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D8" s="277"/>
      <c r="E8" s="277"/>
      <c r="H8" s="270"/>
    </row>
    <row r="9" spans="1:18" s="265" customFormat="1" ht="12" customHeight="1">
      <c r="F9" s="446"/>
      <c r="G9" s="446"/>
      <c r="H9" s="270"/>
      <c r="I9" s="282"/>
      <c r="J9" s="282"/>
      <c r="L9" s="282"/>
    </row>
    <row r="10" spans="1:18" s="265" customFormat="1" ht="18.75" thickBot="1">
      <c r="A10" s="1263" t="s">
        <v>30</v>
      </c>
      <c r="B10" s="1230"/>
      <c r="C10" s="1230"/>
      <c r="D10" s="1230"/>
      <c r="E10" s="1230"/>
      <c r="F10" s="1230"/>
      <c r="G10" s="1230"/>
      <c r="H10" s="1230"/>
      <c r="I10" s="1230"/>
      <c r="J10" s="1230"/>
      <c r="K10" s="1230"/>
      <c r="L10" s="1230"/>
      <c r="M10" s="1230"/>
      <c r="N10" s="1230"/>
      <c r="O10" s="1230"/>
      <c r="P10" s="1230"/>
      <c r="Q10" s="1230"/>
    </row>
    <row r="11" spans="1:18" s="265" customFormat="1" ht="18" customHeight="1">
      <c r="A11" s="1264" t="s">
        <v>1012</v>
      </c>
      <c r="B11" s="1265"/>
      <c r="C11" s="1265"/>
      <c r="D11" s="1265"/>
      <c r="E11" s="1265"/>
      <c r="F11" s="1265"/>
      <c r="G11" s="1265"/>
      <c r="H11" s="1265"/>
      <c r="I11" s="1265"/>
      <c r="J11" s="1265"/>
      <c r="K11" s="1265"/>
      <c r="L11" s="1265"/>
      <c r="M11" s="1265"/>
      <c r="N11" s="1265"/>
      <c r="O11" s="1265"/>
      <c r="P11" s="1265"/>
      <c r="Q11" s="1266"/>
    </row>
    <row r="12" spans="1:18" s="265" customFormat="1" ht="18" customHeight="1">
      <c r="A12" s="1219" t="s">
        <v>845</v>
      </c>
      <c r="B12" s="1220"/>
      <c r="C12" s="1220"/>
      <c r="D12" s="1220"/>
      <c r="E12" s="1220"/>
      <c r="F12" s="1220"/>
      <c r="G12" s="1220"/>
      <c r="H12" s="1220"/>
      <c r="I12" s="1255">
        <v>589</v>
      </c>
      <c r="J12" s="1255"/>
      <c r="K12" s="1255"/>
      <c r="L12" s="1255"/>
      <c r="M12" s="1255"/>
      <c r="N12" s="1255"/>
      <c r="O12" s="1255"/>
      <c r="P12" s="1255"/>
      <c r="Q12" s="1267"/>
    </row>
    <row r="13" spans="1:18" s="265" customFormat="1" ht="18" customHeight="1" thickBot="1">
      <c r="A13" s="1221" t="s">
        <v>846</v>
      </c>
      <c r="B13" s="1222"/>
      <c r="C13" s="1222"/>
      <c r="D13" s="1222"/>
      <c r="E13" s="1222"/>
      <c r="F13" s="1222"/>
      <c r="G13" s="1222"/>
      <c r="H13" s="1222"/>
      <c r="I13" s="1222"/>
      <c r="J13" s="1222"/>
      <c r="K13" s="1222"/>
      <c r="L13" s="1222"/>
      <c r="M13" s="1222"/>
      <c r="N13" s="1222"/>
      <c r="O13" s="1222"/>
      <c r="P13" s="1222"/>
      <c r="Q13" s="1223"/>
    </row>
    <row r="14" spans="1:18" s="265" customFormat="1" ht="15" thickBot="1">
      <c r="D14" s="277"/>
      <c r="E14" s="277"/>
      <c r="F14" s="283"/>
      <c r="G14" s="283"/>
      <c r="I14" s="288"/>
      <c r="J14" s="288"/>
      <c r="K14" s="288"/>
      <c r="L14" s="288"/>
    </row>
    <row r="15" spans="1:18" s="265" customFormat="1" ht="13.5" thickBot="1">
      <c r="F15" s="1021" t="s">
        <v>43</v>
      </c>
      <c r="G15" s="1022"/>
      <c r="H15" s="1023" t="s">
        <v>44</v>
      </c>
      <c r="I15" s="1024"/>
      <c r="J15" s="1024"/>
      <c r="K15" s="1024"/>
      <c r="L15" s="1024"/>
      <c r="M15" s="1024"/>
      <c r="N15" s="1024"/>
      <c r="O15" s="1024"/>
      <c r="P15" s="1024"/>
      <c r="Q15" s="1198"/>
    </row>
    <row r="16" spans="1:18" s="265" customFormat="1" ht="57.75" customHeight="1" thickBot="1">
      <c r="A16" s="188" t="s">
        <v>45</v>
      </c>
      <c r="B16" s="188" t="s">
        <v>46</v>
      </c>
      <c r="C16" s="189" t="s">
        <v>47</v>
      </c>
      <c r="D16" s="189" t="s">
        <v>48</v>
      </c>
      <c r="E16" s="189" t="s">
        <v>49</v>
      </c>
      <c r="F16" s="189" t="s">
        <v>50</v>
      </c>
      <c r="G16" s="188" t="s">
        <v>51</v>
      </c>
      <c r="H16" s="189" t="s">
        <v>53</v>
      </c>
      <c r="I16" s="188" t="s">
        <v>51</v>
      </c>
      <c r="J16" s="189" t="s">
        <v>54</v>
      </c>
      <c r="K16" s="188" t="s">
        <v>51</v>
      </c>
      <c r="L16" s="189" t="s">
        <v>55</v>
      </c>
      <c r="M16" s="188" t="s">
        <v>51</v>
      </c>
      <c r="N16" s="189" t="s">
        <v>847</v>
      </c>
      <c r="O16" s="188" t="s">
        <v>51</v>
      </c>
      <c r="P16" s="189" t="s">
        <v>848</v>
      </c>
      <c r="Q16" s="188" t="s">
        <v>51</v>
      </c>
    </row>
    <row r="17" spans="1:17" s="265" customFormat="1" ht="46.5" customHeight="1" thickBot="1">
      <c r="A17" s="1270">
        <v>45</v>
      </c>
      <c r="B17" s="1271" t="s">
        <v>308</v>
      </c>
      <c r="C17" s="192" t="s">
        <v>1013</v>
      </c>
      <c r="D17" s="206" t="s">
        <v>1010</v>
      </c>
      <c r="E17" s="194">
        <v>21136.880000000001</v>
      </c>
      <c r="F17" s="510">
        <f>SUM(E17:E18)*(1-20%)</f>
        <v>17116.704000000002</v>
      </c>
      <c r="G17" s="1123">
        <f>F17*B17</f>
        <v>17116.704000000002</v>
      </c>
      <c r="H17" s="510">
        <f>F17*0.03137+I12/12</f>
        <v>586.03433781333342</v>
      </c>
      <c r="I17" s="1123">
        <f>H17*B17</f>
        <v>586.03433781333342</v>
      </c>
      <c r="J17" s="510">
        <f>F17*0.0274+I12/12</f>
        <v>518.08102293333343</v>
      </c>
      <c r="K17" s="1123">
        <f>J17*B17</f>
        <v>518.08102293333343</v>
      </c>
      <c r="L17" s="30">
        <f>F17*0.0228+I12/12</f>
        <v>439.34418453333336</v>
      </c>
      <c r="M17" s="1123">
        <f>L17*B17</f>
        <v>439.34418453333336</v>
      </c>
      <c r="N17" s="30">
        <f>F17*0.0204+I12/12</f>
        <v>398.26409493333335</v>
      </c>
      <c r="O17" s="1123">
        <f>N17*B17</f>
        <v>398.26409493333335</v>
      </c>
      <c r="P17" s="30">
        <f>F17*0.0185+I12/12</f>
        <v>365.7423573333333</v>
      </c>
      <c r="Q17" s="1123">
        <f>P17*B17</f>
        <v>365.7423573333333</v>
      </c>
    </row>
    <row r="18" spans="1:17" s="265" customFormat="1" ht="13.5" thickBot="1">
      <c r="A18" s="1270"/>
      <c r="B18" s="1271"/>
      <c r="C18" s="709" t="s">
        <v>424</v>
      </c>
      <c r="D18" s="199" t="s">
        <v>57</v>
      </c>
      <c r="E18" s="512">
        <v>259</v>
      </c>
      <c r="F18" s="710" t="s">
        <v>35</v>
      </c>
      <c r="G18" s="1272"/>
      <c r="H18" s="513" t="s">
        <v>35</v>
      </c>
      <c r="I18" s="1272"/>
      <c r="J18" s="513" t="s">
        <v>35</v>
      </c>
      <c r="K18" s="1272"/>
      <c r="L18" s="513" t="s">
        <v>35</v>
      </c>
      <c r="M18" s="1272"/>
      <c r="N18" s="513" t="s">
        <v>35</v>
      </c>
      <c r="O18" s="1272"/>
      <c r="P18" s="513" t="s">
        <v>35</v>
      </c>
      <c r="Q18" s="1124"/>
    </row>
    <row r="19" spans="1:17" s="198" customFormat="1" ht="15.75" customHeight="1" thickBot="1">
      <c r="A19" s="1273" t="s">
        <v>59</v>
      </c>
      <c r="B19" s="1274"/>
      <c r="C19" s="1251"/>
      <c r="D19" s="1251"/>
      <c r="E19" s="1251"/>
      <c r="F19" s="1251"/>
      <c r="G19" s="1251"/>
      <c r="H19" s="1251"/>
      <c r="I19" s="1251"/>
      <c r="J19" s="1251"/>
      <c r="K19" s="1251"/>
      <c r="L19" s="1251"/>
      <c r="M19" s="1251"/>
      <c r="N19" s="1251"/>
      <c r="O19" s="1251"/>
      <c r="P19" s="1251"/>
      <c r="Q19" s="1253"/>
    </row>
    <row r="20" spans="1:17" s="291" customFormat="1" ht="15">
      <c r="A20" s="519"/>
      <c r="B20" s="258"/>
      <c r="C20" s="258"/>
      <c r="D20" s="1008" t="s">
        <v>65</v>
      </c>
      <c r="E20" s="1088"/>
      <c r="F20" s="1261"/>
      <c r="G20" s="520">
        <f>G17</f>
        <v>17116.704000000002</v>
      </c>
      <c r="H20" s="867" t="s">
        <v>67</v>
      </c>
      <c r="I20" s="520">
        <f>I17</f>
        <v>586.03433781333342</v>
      </c>
      <c r="J20" s="867" t="s">
        <v>68</v>
      </c>
      <c r="K20" s="520">
        <f>K17</f>
        <v>518.08102293333343</v>
      </c>
      <c r="L20" s="867" t="s">
        <v>69</v>
      </c>
      <c r="M20" s="520">
        <f>M17</f>
        <v>439.34418453333336</v>
      </c>
      <c r="N20" s="867" t="s">
        <v>860</v>
      </c>
      <c r="O20" s="520">
        <f>O17</f>
        <v>398.26409493333335</v>
      </c>
      <c r="P20" s="867" t="s">
        <v>861</v>
      </c>
      <c r="Q20" s="520">
        <f>Q17</f>
        <v>365.7423573333333</v>
      </c>
    </row>
    <row r="21" spans="1:17" s="291" customFormat="1">
      <c r="A21" s="315"/>
      <c r="B21" s="256"/>
      <c r="C21" s="256"/>
      <c r="D21" s="315"/>
      <c r="E21" s="315"/>
      <c r="F21" s="868"/>
      <c r="G21" s="868"/>
      <c r="H21" s="869"/>
      <c r="I21" s="869"/>
      <c r="J21" s="869"/>
      <c r="K21" s="869"/>
      <c r="L21" s="869"/>
      <c r="M21" s="869"/>
      <c r="N21" s="869"/>
      <c r="O21" s="869"/>
      <c r="P21" s="869"/>
      <c r="Q21" s="869"/>
    </row>
    <row r="22" spans="1:17" s="291" customFormat="1" ht="15.75">
      <c r="A22" s="256"/>
      <c r="B22" s="521"/>
      <c r="C22" s="521"/>
      <c r="D22" s="522"/>
      <c r="E22" s="522"/>
      <c r="F22" s="870"/>
      <c r="G22" s="831"/>
      <c r="H22" s="271"/>
      <c r="I22" s="271"/>
      <c r="J22" s="271"/>
      <c r="K22" s="271"/>
      <c r="L22" s="271"/>
      <c r="M22" s="271"/>
      <c r="N22" s="271"/>
      <c r="O22" s="271"/>
      <c r="P22" s="271"/>
      <c r="Q22" s="271"/>
    </row>
    <row r="23" spans="1:17" s="519" customFormat="1">
      <c r="A23" s="256"/>
      <c r="B23" s="256"/>
      <c r="C23" s="256"/>
      <c r="D23" s="256"/>
      <c r="E23" s="256"/>
      <c r="F23" s="870"/>
      <c r="G23" s="831"/>
      <c r="H23" s="271"/>
      <c r="I23" s="271"/>
      <c r="J23" s="271"/>
      <c r="K23" s="271"/>
      <c r="L23" s="271"/>
      <c r="M23" s="271"/>
      <c r="N23" s="271"/>
      <c r="O23" s="271"/>
      <c r="P23" s="271"/>
      <c r="Q23" s="271"/>
    </row>
    <row r="24" spans="1:17" s="519" customFormat="1">
      <c r="A24" s="256"/>
      <c r="B24" s="256"/>
      <c r="C24" s="256"/>
      <c r="D24" s="256"/>
      <c r="E24" s="256"/>
      <c r="F24" s="831"/>
      <c r="G24" s="831"/>
      <c r="H24" s="271"/>
      <c r="I24" s="271"/>
      <c r="J24" s="271"/>
      <c r="K24" s="271"/>
      <c r="L24" s="271"/>
      <c r="M24" s="271"/>
      <c r="N24" s="271"/>
      <c r="O24" s="271"/>
      <c r="P24" s="271"/>
      <c r="Q24" s="271"/>
    </row>
    <row r="25" spans="1:17" s="524" customFormat="1" hidden="1">
      <c r="A25" s="256"/>
      <c r="B25" s="256"/>
      <c r="C25" s="256"/>
      <c r="D25" s="256"/>
      <c r="E25" s="256"/>
      <c r="F25" s="831"/>
      <c r="G25" s="831"/>
      <c r="H25" s="271"/>
      <c r="I25" s="271"/>
      <c r="J25" s="271"/>
      <c r="K25" s="271"/>
      <c r="L25" s="271"/>
      <c r="M25" s="271"/>
      <c r="N25" s="271"/>
      <c r="O25" s="271"/>
      <c r="P25" s="271"/>
      <c r="Q25" s="271"/>
    </row>
    <row r="26" spans="1:17" s="519" customFormat="1">
      <c r="A26" s="256"/>
      <c r="B26" s="256"/>
      <c r="C26" s="256"/>
      <c r="D26" s="256"/>
      <c r="E26" s="256"/>
      <c r="F26" s="333"/>
      <c r="G26" s="831"/>
      <c r="H26" s="256"/>
      <c r="I26" s="271"/>
      <c r="J26" s="256"/>
      <c r="K26" s="271"/>
      <c r="L26" s="256"/>
      <c r="M26" s="271"/>
      <c r="N26" s="256"/>
      <c r="O26" s="271"/>
      <c r="P26" s="256"/>
      <c r="Q26" s="271"/>
    </row>
    <row r="27" spans="1:17" s="315" customFormat="1">
      <c r="A27" s="256"/>
      <c r="B27" s="256"/>
      <c r="C27" s="256"/>
      <c r="D27" s="256"/>
      <c r="E27" s="256"/>
      <c r="F27" s="333"/>
      <c r="G27" s="333"/>
      <c r="H27" s="256"/>
      <c r="I27" s="256"/>
      <c r="J27" s="256"/>
      <c r="K27" s="256"/>
      <c r="L27" s="256"/>
      <c r="M27" s="256"/>
      <c r="N27" s="256"/>
      <c r="O27" s="256"/>
      <c r="P27" s="256"/>
      <c r="Q27" s="256"/>
    </row>
    <row r="39" spans="2:12">
      <c r="L39" s="859"/>
    </row>
    <row r="40" spans="2:12">
      <c r="B40" s="258"/>
      <c r="C40" s="258"/>
    </row>
  </sheetData>
  <mergeCells count="19">
    <mergeCell ref="A4:O4"/>
    <mergeCell ref="A5:O5"/>
    <mergeCell ref="A10:Q10"/>
    <mergeCell ref="A11:Q11"/>
    <mergeCell ref="A12:H12"/>
    <mergeCell ref="I12:Q12"/>
    <mergeCell ref="Q17:Q18"/>
    <mergeCell ref="A19:Q19"/>
    <mergeCell ref="D20:F20"/>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97003-3906-4641-80D6-267DE52D8CE1}">
  <sheetPr>
    <tabColor rgb="FFFF0000"/>
  </sheetPr>
  <dimension ref="A1:R42"/>
  <sheetViews>
    <sheetView topLeftCell="E8" zoomScale="84" zoomScaleNormal="84" workbookViewId="0">
      <selection activeCell="K25" sqref="K2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8" width="11.710937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1014</v>
      </c>
      <c r="B4" s="1020"/>
      <c r="C4" s="1020"/>
      <c r="D4" s="1020"/>
      <c r="E4" s="1020"/>
      <c r="F4" s="1020"/>
      <c r="G4" s="1020"/>
      <c r="H4" s="1020"/>
      <c r="I4" s="1020"/>
      <c r="J4" s="1020"/>
      <c r="K4" s="1020"/>
      <c r="L4" s="1020"/>
      <c r="M4" s="1020"/>
      <c r="N4" s="1020"/>
      <c r="O4" s="1020"/>
    </row>
    <row r="5" spans="1:18" s="266" customFormat="1" ht="41.25" customHeight="1">
      <c r="A5" s="1188" t="s">
        <v>1011</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D8" s="277"/>
      <c r="E8" s="277"/>
      <c r="H8" s="270"/>
    </row>
    <row r="9" spans="1:18" s="265" customFormat="1" ht="12" customHeight="1">
      <c r="F9" s="446"/>
      <c r="G9" s="446"/>
      <c r="H9" s="270"/>
      <c r="I9" s="282"/>
      <c r="J9" s="282"/>
      <c r="L9" s="282"/>
    </row>
    <row r="10" spans="1:18" s="265" customFormat="1" ht="18.75" thickBot="1">
      <c r="A10" s="1263" t="s">
        <v>30</v>
      </c>
      <c r="B10" s="1230"/>
      <c r="C10" s="1230"/>
      <c r="D10" s="1230"/>
      <c r="E10" s="1230"/>
      <c r="F10" s="1230"/>
      <c r="G10" s="1230"/>
      <c r="H10" s="1230"/>
      <c r="I10" s="1230"/>
      <c r="J10" s="1230"/>
      <c r="K10" s="1230"/>
      <c r="L10" s="1230"/>
      <c r="M10" s="1230"/>
      <c r="N10" s="1230"/>
      <c r="O10" s="1230"/>
      <c r="P10" s="1230"/>
      <c r="Q10" s="1230"/>
    </row>
    <row r="11" spans="1:18" s="265" customFormat="1" ht="18" customHeight="1">
      <c r="A11" s="1264" t="s">
        <v>1015</v>
      </c>
      <c r="B11" s="1265"/>
      <c r="C11" s="1265"/>
      <c r="D11" s="1265"/>
      <c r="E11" s="1265"/>
      <c r="F11" s="1265"/>
      <c r="G11" s="1265"/>
      <c r="H11" s="1265"/>
      <c r="I11" s="1265"/>
      <c r="J11" s="1265"/>
      <c r="K11" s="1265"/>
      <c r="L11" s="1265"/>
      <c r="M11" s="1265"/>
      <c r="N11" s="1265"/>
      <c r="O11" s="1265"/>
      <c r="P11" s="1265"/>
      <c r="Q11" s="1266"/>
    </row>
    <row r="12" spans="1:18" s="265" customFormat="1" ht="18" customHeight="1">
      <c r="A12" s="1219" t="s">
        <v>845</v>
      </c>
      <c r="B12" s="1220"/>
      <c r="C12" s="1220"/>
      <c r="D12" s="1220"/>
      <c r="E12" s="1220"/>
      <c r="F12" s="1220"/>
      <c r="G12" s="1220"/>
      <c r="H12" s="1220"/>
      <c r="I12" s="1255">
        <v>583</v>
      </c>
      <c r="J12" s="1255"/>
      <c r="K12" s="1255"/>
      <c r="L12" s="1255"/>
      <c r="M12" s="1255"/>
      <c r="N12" s="1255"/>
      <c r="O12" s="1255"/>
      <c r="P12" s="1255"/>
      <c r="Q12" s="1267"/>
    </row>
    <row r="13" spans="1:18" s="265" customFormat="1" ht="18" customHeight="1" thickBot="1">
      <c r="A13" s="1221" t="s">
        <v>846</v>
      </c>
      <c r="B13" s="1222"/>
      <c r="C13" s="1222"/>
      <c r="D13" s="1222"/>
      <c r="E13" s="1222"/>
      <c r="F13" s="1222"/>
      <c r="G13" s="1222"/>
      <c r="H13" s="1222"/>
      <c r="I13" s="1222"/>
      <c r="J13" s="1222"/>
      <c r="K13" s="1222"/>
      <c r="L13" s="1222"/>
      <c r="M13" s="1222"/>
      <c r="N13" s="1222"/>
      <c r="O13" s="1222"/>
      <c r="P13" s="1222"/>
      <c r="Q13" s="1223"/>
    </row>
    <row r="14" spans="1:18" s="265" customFormat="1" ht="15" thickBot="1">
      <c r="D14" s="277"/>
      <c r="E14" s="277"/>
      <c r="F14" s="283"/>
      <c r="G14" s="283"/>
      <c r="I14" s="288"/>
      <c r="J14" s="288"/>
      <c r="K14" s="288"/>
      <c r="L14" s="288"/>
    </row>
    <row r="15" spans="1:18" s="265" customFormat="1" ht="13.5" thickBot="1">
      <c r="F15" s="1021" t="s">
        <v>43</v>
      </c>
      <c r="G15" s="1022"/>
      <c r="H15" s="1268" t="s">
        <v>44</v>
      </c>
      <c r="I15" s="1269"/>
      <c r="J15" s="1269"/>
      <c r="K15" s="1269"/>
      <c r="L15" s="1269"/>
      <c r="M15" s="1269"/>
      <c r="N15" s="1269"/>
      <c r="O15" s="1269"/>
      <c r="P15" s="1269"/>
      <c r="Q15" s="1269"/>
    </row>
    <row r="16" spans="1:18" s="265" customFormat="1" ht="57.75" customHeight="1" thickBot="1">
      <c r="A16" s="188" t="s">
        <v>45</v>
      </c>
      <c r="B16" s="188" t="s">
        <v>46</v>
      </c>
      <c r="C16" s="189" t="s">
        <v>47</v>
      </c>
      <c r="D16" s="189" t="s">
        <v>48</v>
      </c>
      <c r="E16" s="189" t="s">
        <v>49</v>
      </c>
      <c r="F16" s="189" t="s">
        <v>50</v>
      </c>
      <c r="G16" s="188" t="s">
        <v>51</v>
      </c>
      <c r="H16" s="189" t="s">
        <v>53</v>
      </c>
      <c r="I16" s="188" t="s">
        <v>51</v>
      </c>
      <c r="J16" s="189" t="s">
        <v>54</v>
      </c>
      <c r="K16" s="188" t="s">
        <v>51</v>
      </c>
      <c r="L16" s="189" t="s">
        <v>55</v>
      </c>
      <c r="M16" s="188" t="s">
        <v>51</v>
      </c>
      <c r="N16" s="189" t="s">
        <v>847</v>
      </c>
      <c r="O16" s="188" t="s">
        <v>51</v>
      </c>
      <c r="P16" s="189" t="s">
        <v>848</v>
      </c>
      <c r="Q16" s="188" t="s">
        <v>51</v>
      </c>
    </row>
    <row r="17" spans="1:18" s="265" customFormat="1" ht="46.5" customHeight="1" thickBot="1">
      <c r="A17" s="1270">
        <v>46</v>
      </c>
      <c r="B17" s="1271"/>
      <c r="C17" s="192" t="s">
        <v>1013</v>
      </c>
      <c r="D17" s="206" t="s">
        <v>1014</v>
      </c>
      <c r="E17" s="194">
        <v>12373.99</v>
      </c>
      <c r="F17" s="510">
        <f>SUM(E17:E18)*(1-20%)</f>
        <v>10106.392</v>
      </c>
      <c r="G17" s="1123">
        <f>F17*B17</f>
        <v>0</v>
      </c>
      <c r="H17" s="510">
        <f>F17*0.03137+I12/12</f>
        <v>365.62085037333333</v>
      </c>
      <c r="I17" s="1123">
        <f>H17*B17</f>
        <v>0</v>
      </c>
      <c r="J17" s="510">
        <f>F17*0.0274+I12/12</f>
        <v>325.49847413333333</v>
      </c>
      <c r="K17" s="1123">
        <f>J17*B17</f>
        <v>0</v>
      </c>
      <c r="L17" s="30">
        <f>F17*0.0228+I12/12</f>
        <v>279.00907093333331</v>
      </c>
      <c r="M17" s="1123">
        <f>L17*B17</f>
        <v>0</v>
      </c>
      <c r="N17" s="30">
        <f>F17*0.0204+I12/12</f>
        <v>254.75373013333336</v>
      </c>
      <c r="O17" s="1123">
        <f>N17*B17</f>
        <v>0</v>
      </c>
      <c r="P17" s="30">
        <f>F17*0.0185+I12/12</f>
        <v>235.55158533333332</v>
      </c>
      <c r="Q17" s="1123">
        <f>P17*B17</f>
        <v>0</v>
      </c>
    </row>
    <row r="18" spans="1:18" s="265" customFormat="1" ht="13.5" thickBot="1">
      <c r="A18" s="1270"/>
      <c r="B18" s="1271"/>
      <c r="C18" s="709" t="s">
        <v>424</v>
      </c>
      <c r="D18" s="199" t="s">
        <v>57</v>
      </c>
      <c r="E18" s="512">
        <v>259</v>
      </c>
      <c r="F18" s="710" t="s">
        <v>35</v>
      </c>
      <c r="G18" s="1272"/>
      <c r="H18" s="513" t="s">
        <v>35</v>
      </c>
      <c r="I18" s="1272"/>
      <c r="J18" s="513" t="s">
        <v>35</v>
      </c>
      <c r="K18" s="1272"/>
      <c r="L18" s="513" t="s">
        <v>35</v>
      </c>
      <c r="M18" s="1272"/>
      <c r="N18" s="513" t="s">
        <v>35</v>
      </c>
      <c r="O18" s="1272"/>
      <c r="P18" s="513" t="s">
        <v>35</v>
      </c>
      <c r="Q18" s="1124"/>
    </row>
    <row r="19" spans="1:18" s="198" customFormat="1" ht="15.6" customHeight="1" thickBot="1">
      <c r="A19" s="1275" t="s">
        <v>59</v>
      </c>
      <c r="B19" s="1276"/>
      <c r="C19" s="1277"/>
      <c r="D19" s="1277"/>
      <c r="E19" s="1277"/>
      <c r="F19" s="1277"/>
      <c r="G19" s="1277"/>
      <c r="H19" s="1277"/>
      <c r="I19" s="1277"/>
      <c r="J19" s="1277"/>
      <c r="K19" s="1277"/>
      <c r="L19" s="1277"/>
      <c r="M19" s="1277"/>
      <c r="N19" s="1277"/>
      <c r="O19" s="1277"/>
      <c r="P19" s="1277"/>
      <c r="Q19" s="1278"/>
    </row>
    <row r="20" spans="1:18" s="291" customFormat="1" ht="26.25" thickBot="1">
      <c r="A20" s="1279"/>
      <c r="B20" s="416"/>
      <c r="C20" s="865">
        <v>5557022</v>
      </c>
      <c r="D20" s="865" t="s">
        <v>1016</v>
      </c>
      <c r="E20" s="866">
        <v>14273.195876288661</v>
      </c>
      <c r="F20" s="594">
        <f>E20*(1-20%)</f>
        <v>11418.55670103093</v>
      </c>
      <c r="G20" s="41">
        <f>F20*B20</f>
        <v>0</v>
      </c>
      <c r="H20" s="39">
        <f>F20*0.03137</f>
        <v>358.20012371134027</v>
      </c>
      <c r="I20" s="40">
        <f>H20*B20</f>
        <v>0</v>
      </c>
      <c r="J20" s="39">
        <f>F20*0.0274</f>
        <v>312.86845360824748</v>
      </c>
      <c r="K20" s="40">
        <f>J20*B20</f>
        <v>0</v>
      </c>
      <c r="L20" s="39">
        <f>F20*0.0228</f>
        <v>260.3430927835052</v>
      </c>
      <c r="M20" s="39">
        <f>L20*B20</f>
        <v>0</v>
      </c>
      <c r="N20" s="39">
        <f>F20*0.0204</f>
        <v>232.93855670103099</v>
      </c>
      <c r="O20" s="39">
        <f>N20*B20</f>
        <v>0</v>
      </c>
      <c r="P20" s="39">
        <f>F20*0.0185</f>
        <v>211.24329896907219</v>
      </c>
      <c r="Q20" s="39">
        <f>P20*B20</f>
        <v>0</v>
      </c>
      <c r="R20" s="568"/>
    </row>
    <row r="21" spans="1:18" s="291" customFormat="1" ht="13.5" thickBot="1">
      <c r="A21" s="1280"/>
      <c r="B21" s="416"/>
      <c r="C21" s="865">
        <v>2786351</v>
      </c>
      <c r="D21" s="865" t="s">
        <v>1017</v>
      </c>
      <c r="E21" s="866">
        <v>2392.7835051546394</v>
      </c>
      <c r="F21" s="594">
        <f>E21*(1-20%)</f>
        <v>1914.2268041237116</v>
      </c>
      <c r="G21" s="41">
        <f>F21*B21</f>
        <v>0</v>
      </c>
      <c r="H21" s="39">
        <f>F21*0.03137</f>
        <v>60.049294845360841</v>
      </c>
      <c r="I21" s="40">
        <f>H21*B21</f>
        <v>0</v>
      </c>
      <c r="J21" s="39">
        <f>F21*0.0274</f>
        <v>52.449814432989697</v>
      </c>
      <c r="K21" s="40">
        <f>J21*B21</f>
        <v>0</v>
      </c>
      <c r="L21" s="39">
        <f>F21*0.0228</f>
        <v>43.644371134020631</v>
      </c>
      <c r="M21" s="39">
        <f>L21*B21</f>
        <v>0</v>
      </c>
      <c r="N21" s="39">
        <f>F21*0.0204</f>
        <v>39.050226804123717</v>
      </c>
      <c r="O21" s="39">
        <f>N21*B21</f>
        <v>0</v>
      </c>
      <c r="P21" s="39">
        <f>F21*0.0185</f>
        <v>35.413195876288661</v>
      </c>
      <c r="Q21" s="39">
        <f>P21*B21</f>
        <v>0</v>
      </c>
      <c r="R21" s="568"/>
    </row>
    <row r="22" spans="1:18" s="291" customFormat="1" ht="15">
      <c r="A22" s="519"/>
      <c r="B22" s="258"/>
      <c r="C22" s="258"/>
      <c r="D22" s="1008" t="s">
        <v>65</v>
      </c>
      <c r="E22" s="1088"/>
      <c r="F22" s="1261"/>
      <c r="G22" s="520">
        <f>SUM(G20:G21)+G17</f>
        <v>0</v>
      </c>
      <c r="H22" s="867" t="s">
        <v>67</v>
      </c>
      <c r="I22" s="520">
        <f>SUM(I20:I21)+I17</f>
        <v>0</v>
      </c>
      <c r="J22" s="867" t="s">
        <v>68</v>
      </c>
      <c r="K22" s="520">
        <f>SUM(K20:K21)+K17</f>
        <v>0</v>
      </c>
      <c r="L22" s="867" t="s">
        <v>69</v>
      </c>
      <c r="M22" s="520">
        <f>SUM(M20:M21)+M17</f>
        <v>0</v>
      </c>
      <c r="N22" s="867" t="s">
        <v>860</v>
      </c>
      <c r="O22" s="520">
        <f>SUM(O20:O21)+O17</f>
        <v>0</v>
      </c>
      <c r="P22" s="867" t="s">
        <v>861</v>
      </c>
      <c r="Q22" s="520">
        <f>SUM(Q20:Q21)+Q17</f>
        <v>0</v>
      </c>
    </row>
    <row r="23" spans="1:18" s="291" customFormat="1">
      <c r="A23" s="315"/>
      <c r="B23" s="256"/>
      <c r="C23" s="256"/>
      <c r="D23" s="315"/>
      <c r="E23" s="315"/>
      <c r="F23" s="868"/>
      <c r="G23" s="868"/>
      <c r="H23" s="869"/>
      <c r="I23" s="869"/>
      <c r="J23" s="869"/>
      <c r="K23" s="869"/>
      <c r="L23" s="869"/>
      <c r="M23" s="869"/>
      <c r="N23" s="869"/>
      <c r="O23" s="869"/>
      <c r="P23" s="869"/>
      <c r="Q23" s="869"/>
    </row>
    <row r="24" spans="1:18" s="291" customFormat="1" ht="15.75">
      <c r="A24" s="256"/>
      <c r="B24" s="521"/>
      <c r="C24" s="521"/>
      <c r="D24" s="522"/>
      <c r="E24" s="522"/>
      <c r="F24" s="870"/>
      <c r="G24" s="831"/>
      <c r="H24" s="271"/>
      <c r="I24" s="271"/>
      <c r="J24" s="271"/>
      <c r="K24" s="271"/>
      <c r="L24" s="271"/>
      <c r="M24" s="271"/>
      <c r="N24" s="271"/>
      <c r="O24" s="271"/>
      <c r="P24" s="271"/>
      <c r="Q24" s="271"/>
    </row>
    <row r="25" spans="1:18" s="519" customFormat="1">
      <c r="A25" s="256"/>
      <c r="B25" s="256"/>
      <c r="C25" s="256"/>
      <c r="D25" s="256"/>
      <c r="E25" s="256"/>
      <c r="F25" s="870"/>
      <c r="G25" s="831"/>
      <c r="H25" s="271"/>
      <c r="I25" s="271"/>
      <c r="J25" s="271"/>
      <c r="K25" s="271"/>
      <c r="L25" s="271"/>
      <c r="M25" s="271"/>
      <c r="N25" s="271"/>
      <c r="O25" s="271"/>
      <c r="P25" s="271"/>
      <c r="Q25" s="271"/>
    </row>
    <row r="26" spans="1:18" s="519" customFormat="1">
      <c r="A26" s="256"/>
      <c r="B26" s="256"/>
      <c r="C26" s="256"/>
      <c r="D26" s="256"/>
      <c r="E26" s="256"/>
      <c r="F26" s="831"/>
      <c r="G26" s="831"/>
      <c r="H26" s="271"/>
      <c r="I26" s="271"/>
      <c r="J26" s="271"/>
      <c r="K26" s="271"/>
      <c r="L26" s="271"/>
      <c r="M26" s="271"/>
      <c r="N26" s="271"/>
      <c r="O26" s="271"/>
      <c r="P26" s="271"/>
      <c r="Q26" s="271"/>
    </row>
    <row r="27" spans="1:18" s="524" customFormat="1" hidden="1">
      <c r="A27" s="256"/>
      <c r="B27" s="256"/>
      <c r="C27" s="256"/>
      <c r="D27" s="256"/>
      <c r="E27" s="256"/>
      <c r="F27" s="831"/>
      <c r="G27" s="831"/>
      <c r="H27" s="271"/>
      <c r="I27" s="271"/>
      <c r="J27" s="271"/>
      <c r="K27" s="271"/>
      <c r="L27" s="271"/>
      <c r="M27" s="271"/>
      <c r="N27" s="271"/>
      <c r="O27" s="271"/>
      <c r="P27" s="271"/>
      <c r="Q27" s="271"/>
    </row>
    <row r="28" spans="1:18" s="519" customFormat="1">
      <c r="A28" s="256"/>
      <c r="B28" s="256"/>
      <c r="C28" s="256"/>
      <c r="D28" s="256"/>
      <c r="E28" s="256"/>
      <c r="F28" s="333"/>
      <c r="G28" s="831"/>
      <c r="H28" s="256"/>
      <c r="I28" s="271"/>
      <c r="J28" s="256"/>
      <c r="K28" s="271"/>
      <c r="L28" s="256"/>
      <c r="M28" s="271"/>
      <c r="N28" s="256"/>
      <c r="O28" s="271"/>
      <c r="P28" s="256"/>
      <c r="Q28" s="271"/>
    </row>
    <row r="29" spans="1:18" s="315" customFormat="1">
      <c r="A29" s="256"/>
      <c r="B29" s="256"/>
      <c r="C29" s="256"/>
      <c r="D29" s="256"/>
      <c r="E29" s="256"/>
      <c r="F29" s="333"/>
      <c r="G29" s="333"/>
      <c r="H29" s="256"/>
      <c r="I29" s="256"/>
      <c r="J29" s="256"/>
      <c r="K29" s="256"/>
      <c r="L29" s="256"/>
      <c r="M29" s="256"/>
      <c r="N29" s="256"/>
      <c r="O29" s="256"/>
      <c r="P29" s="256"/>
      <c r="Q29" s="256"/>
    </row>
    <row r="39" spans="2:12">
      <c r="L39" s="859">
        <f>F39*0.0256</f>
        <v>0</v>
      </c>
    </row>
    <row r="42" spans="2:12">
      <c r="B42" s="258"/>
      <c r="C42" s="258"/>
    </row>
  </sheetData>
  <mergeCells count="20">
    <mergeCell ref="A4:O4"/>
    <mergeCell ref="A5:O5"/>
    <mergeCell ref="A10:Q10"/>
    <mergeCell ref="A11:Q11"/>
    <mergeCell ref="A12:H12"/>
    <mergeCell ref="I12:Q12"/>
    <mergeCell ref="Q17:Q18"/>
    <mergeCell ref="A19:Q19"/>
    <mergeCell ref="A20:A21"/>
    <mergeCell ref="D22:F22"/>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718A-5F7C-4EB3-A743-2449FC9DF539}">
  <sheetPr>
    <tabColor rgb="FFFF0000"/>
  </sheetPr>
  <dimension ref="A1:R53"/>
  <sheetViews>
    <sheetView zoomScale="90" zoomScaleNormal="90" workbookViewId="0">
      <selection activeCell="K25" sqref="K2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891</v>
      </c>
      <c r="B4" s="1020"/>
      <c r="C4" s="1020"/>
      <c r="D4" s="1020"/>
      <c r="E4" s="1020"/>
      <c r="F4" s="1020"/>
      <c r="G4" s="1020"/>
      <c r="H4" s="1020"/>
      <c r="I4" s="1020"/>
      <c r="J4" s="1020"/>
      <c r="K4" s="1020"/>
      <c r="L4" s="1020"/>
      <c r="M4" s="1020"/>
      <c r="N4" s="1020"/>
      <c r="O4" s="1020"/>
    </row>
    <row r="5" spans="1:18" s="266" customFormat="1" ht="41.25" customHeight="1">
      <c r="A5" s="1188" t="s">
        <v>892</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D8" s="277"/>
      <c r="E8" s="277"/>
      <c r="H8" s="270"/>
    </row>
    <row r="9" spans="1:18" s="265" customFormat="1" ht="12" customHeight="1">
      <c r="F9" s="446"/>
      <c r="G9" s="446"/>
      <c r="H9" s="270"/>
      <c r="I9" s="282"/>
      <c r="J9" s="282"/>
      <c r="L9" s="282"/>
    </row>
    <row r="10" spans="1:18" s="265" customFormat="1" ht="18.75" thickBot="1">
      <c r="A10" s="1263" t="s">
        <v>30</v>
      </c>
      <c r="B10" s="1230"/>
      <c r="C10" s="1230"/>
      <c r="D10" s="1230"/>
      <c r="E10" s="1230"/>
      <c r="F10" s="1230"/>
      <c r="G10" s="1230"/>
      <c r="H10" s="1230"/>
      <c r="I10" s="1230"/>
      <c r="J10" s="1230"/>
      <c r="K10" s="1230"/>
      <c r="L10" s="1230"/>
      <c r="M10" s="1230"/>
      <c r="N10" s="1230"/>
      <c r="O10" s="1230"/>
      <c r="P10" s="1230"/>
      <c r="Q10" s="1230"/>
    </row>
    <row r="11" spans="1:18" s="265" customFormat="1" ht="18" customHeight="1">
      <c r="A11" s="1264" t="s">
        <v>1018</v>
      </c>
      <c r="B11" s="1265"/>
      <c r="C11" s="1265"/>
      <c r="D11" s="1265"/>
      <c r="E11" s="1265"/>
      <c r="F11" s="1265"/>
      <c r="G11" s="1265"/>
      <c r="H11" s="1265"/>
      <c r="I11" s="1265"/>
      <c r="J11" s="1265"/>
      <c r="K11" s="1265"/>
      <c r="L11" s="1265"/>
      <c r="M11" s="1265"/>
      <c r="N11" s="1265"/>
      <c r="O11" s="1265"/>
      <c r="P11" s="1265"/>
      <c r="Q11" s="1266"/>
    </row>
    <row r="12" spans="1:18" s="265" customFormat="1" ht="18" customHeight="1">
      <c r="A12" s="1219" t="s">
        <v>845</v>
      </c>
      <c r="B12" s="1220"/>
      <c r="C12" s="1220"/>
      <c r="D12" s="1220"/>
      <c r="E12" s="1220"/>
      <c r="F12" s="1220"/>
      <c r="G12" s="1220"/>
      <c r="H12" s="1220"/>
      <c r="I12" s="1255">
        <v>2348</v>
      </c>
      <c r="J12" s="1255"/>
      <c r="K12" s="1255"/>
      <c r="L12" s="1255"/>
      <c r="M12" s="1255"/>
      <c r="N12" s="1255"/>
      <c r="O12" s="1255"/>
      <c r="P12" s="1255"/>
      <c r="Q12" s="1267"/>
    </row>
    <row r="13" spans="1:18" s="265" customFormat="1" ht="18" customHeight="1" thickBot="1">
      <c r="A13" s="1221" t="s">
        <v>846</v>
      </c>
      <c r="B13" s="1222"/>
      <c r="C13" s="1222"/>
      <c r="D13" s="1222"/>
      <c r="E13" s="1222"/>
      <c r="F13" s="1222"/>
      <c r="G13" s="1222"/>
      <c r="H13" s="1222"/>
      <c r="I13" s="1222"/>
      <c r="J13" s="1222"/>
      <c r="K13" s="1222"/>
      <c r="L13" s="1222"/>
      <c r="M13" s="1222"/>
      <c r="N13" s="1222"/>
      <c r="O13" s="1222"/>
      <c r="P13" s="1222"/>
      <c r="Q13" s="1223"/>
    </row>
    <row r="14" spans="1:18" s="265" customFormat="1" ht="15" thickBot="1">
      <c r="D14" s="277"/>
      <c r="E14" s="277"/>
      <c r="F14" s="283"/>
      <c r="G14" s="283"/>
      <c r="I14" s="288"/>
      <c r="J14" s="288"/>
      <c r="K14" s="288"/>
      <c r="L14" s="288"/>
    </row>
    <row r="15" spans="1:18" s="265" customFormat="1" ht="13.5" thickBot="1">
      <c r="F15" s="1021" t="s">
        <v>43</v>
      </c>
      <c r="G15" s="1022"/>
      <c r="H15" s="1268" t="s">
        <v>44</v>
      </c>
      <c r="I15" s="1269"/>
      <c r="J15" s="1269"/>
      <c r="K15" s="1269"/>
      <c r="L15" s="1269"/>
      <c r="M15" s="1269"/>
      <c r="N15" s="1269"/>
      <c r="O15" s="1269"/>
      <c r="P15" s="1269"/>
      <c r="Q15" s="1269"/>
    </row>
    <row r="16" spans="1:18" s="265" customFormat="1" ht="57.75" customHeight="1" thickBot="1">
      <c r="A16" s="188" t="s">
        <v>45</v>
      </c>
      <c r="B16" s="188" t="s">
        <v>46</v>
      </c>
      <c r="C16" s="189" t="s">
        <v>47</v>
      </c>
      <c r="D16" s="189" t="s">
        <v>48</v>
      </c>
      <c r="E16" s="189" t="s">
        <v>49</v>
      </c>
      <c r="F16" s="189" t="s">
        <v>50</v>
      </c>
      <c r="G16" s="188" t="s">
        <v>51</v>
      </c>
      <c r="H16" s="189" t="s">
        <v>53</v>
      </c>
      <c r="I16" s="188" t="s">
        <v>51</v>
      </c>
      <c r="J16" s="189" t="s">
        <v>54</v>
      </c>
      <c r="K16" s="188" t="s">
        <v>51</v>
      </c>
      <c r="L16" s="189" t="s">
        <v>55</v>
      </c>
      <c r="M16" s="188" t="s">
        <v>51</v>
      </c>
      <c r="N16" s="189" t="s">
        <v>847</v>
      </c>
      <c r="O16" s="188" t="s">
        <v>51</v>
      </c>
      <c r="P16" s="189" t="s">
        <v>848</v>
      </c>
      <c r="Q16" s="188" t="s">
        <v>51</v>
      </c>
    </row>
    <row r="17" spans="1:17" s="265" customFormat="1" ht="46.5" customHeight="1" thickBot="1">
      <c r="A17" s="1270">
        <v>47</v>
      </c>
      <c r="B17" s="1271"/>
      <c r="C17" s="192" t="s">
        <v>893</v>
      </c>
      <c r="D17" s="206" t="s">
        <v>891</v>
      </c>
      <c r="E17" s="194">
        <v>39482</v>
      </c>
      <c r="F17" s="510">
        <f>SUM(E17:E18)*(1-40%)</f>
        <v>23844.6</v>
      </c>
      <c r="G17" s="1123">
        <f>F17*B17</f>
        <v>0</v>
      </c>
      <c r="H17" s="510">
        <f>F17*0.03137+I12/12</f>
        <v>943.67176866666659</v>
      </c>
      <c r="I17" s="1123">
        <f>H17*B17</f>
        <v>0</v>
      </c>
      <c r="J17" s="510">
        <f>F17*0.0274+I12/12</f>
        <v>849.00870666666663</v>
      </c>
      <c r="K17" s="1123">
        <f>J17*B17</f>
        <v>0</v>
      </c>
      <c r="L17" s="30">
        <f>F17*0.0228+I12/12</f>
        <v>739.32354666666663</v>
      </c>
      <c r="M17" s="1123">
        <f>L17*B17</f>
        <v>0</v>
      </c>
      <c r="N17" s="30">
        <f>F17*0.0204+I12/12</f>
        <v>682.09650666666664</v>
      </c>
      <c r="O17" s="1123">
        <f>N17*B17</f>
        <v>0</v>
      </c>
      <c r="P17" s="30">
        <f>F17*0.0185+I12/12</f>
        <v>636.7917666666666</v>
      </c>
      <c r="Q17" s="1123">
        <f>P17*B17</f>
        <v>0</v>
      </c>
    </row>
    <row r="18" spans="1:17" s="265" customFormat="1" ht="13.5" thickBot="1">
      <c r="A18" s="1270"/>
      <c r="B18" s="1271"/>
      <c r="C18" s="709" t="s">
        <v>424</v>
      </c>
      <c r="D18" s="199" t="s">
        <v>57</v>
      </c>
      <c r="E18" s="512">
        <v>259</v>
      </c>
      <c r="F18" s="710" t="s">
        <v>35</v>
      </c>
      <c r="G18" s="1272"/>
      <c r="H18" s="513" t="s">
        <v>35</v>
      </c>
      <c r="I18" s="1272"/>
      <c r="J18" s="513" t="s">
        <v>35</v>
      </c>
      <c r="K18" s="1272"/>
      <c r="L18" s="513" t="s">
        <v>35</v>
      </c>
      <c r="M18" s="1272"/>
      <c r="N18" s="513" t="s">
        <v>35</v>
      </c>
      <c r="O18" s="1272"/>
      <c r="P18" s="513" t="s">
        <v>35</v>
      </c>
      <c r="Q18" s="1124"/>
    </row>
    <row r="19" spans="1:17" s="198" customFormat="1" ht="15.75" customHeight="1" thickBot="1">
      <c r="A19" s="1273" t="s">
        <v>59</v>
      </c>
      <c r="B19" s="1274"/>
      <c r="C19" s="1251"/>
      <c r="D19" s="1251"/>
      <c r="E19" s="1251"/>
      <c r="F19" s="1251"/>
      <c r="G19" s="1251"/>
      <c r="H19" s="1251"/>
      <c r="I19" s="1251"/>
      <c r="J19" s="1251"/>
      <c r="K19" s="1251"/>
      <c r="L19" s="1251"/>
      <c r="M19" s="1251"/>
      <c r="N19" s="1251"/>
      <c r="O19" s="1251"/>
      <c r="P19" s="1251"/>
      <c r="Q19" s="1253"/>
    </row>
    <row r="20" spans="1:17" s="198" customFormat="1" ht="13.5" thickBot="1">
      <c r="A20" s="1171"/>
      <c r="B20" s="860"/>
      <c r="C20" s="861" t="s">
        <v>894</v>
      </c>
      <c r="D20" s="862" t="s">
        <v>895</v>
      </c>
      <c r="E20" s="863">
        <v>4000</v>
      </c>
      <c r="F20" s="39">
        <f>E20*(1-20%)</f>
        <v>3200</v>
      </c>
      <c r="G20" s="599">
        <f t="shared" ref="G20:G32" si="0">F20*B20</f>
        <v>0</v>
      </c>
      <c r="H20" s="39">
        <f t="shared" ref="H20:H32" si="1">F20*0.03137</f>
        <v>100.384</v>
      </c>
      <c r="I20" s="599">
        <f t="shared" ref="I20:I32" si="2">H20*B20</f>
        <v>0</v>
      </c>
      <c r="J20" s="39">
        <f t="shared" ref="J20:J32" si="3">F20*0.0274</f>
        <v>87.68</v>
      </c>
      <c r="K20" s="599">
        <f t="shared" ref="K20:K32" si="4">J20*B20</f>
        <v>0</v>
      </c>
      <c r="L20" s="39">
        <f t="shared" ref="L20:L32" si="5">F20*0.0228</f>
        <v>72.960000000000008</v>
      </c>
      <c r="M20" s="39">
        <f t="shared" ref="M20:M32" si="6">L20*B20</f>
        <v>0</v>
      </c>
      <c r="N20" s="39">
        <f t="shared" ref="N20:N32" si="7">F20*0.0204</f>
        <v>65.28</v>
      </c>
      <c r="O20" s="39">
        <f t="shared" ref="O20:O32" si="8">N20*B20</f>
        <v>0</v>
      </c>
      <c r="P20" s="39">
        <f>F20*0.0185</f>
        <v>59.199999999999996</v>
      </c>
      <c r="Q20" s="39">
        <f>P20*B20</f>
        <v>0</v>
      </c>
    </row>
    <row r="21" spans="1:17" s="519" customFormat="1" ht="13.5" thickBot="1">
      <c r="A21" s="1006"/>
      <c r="B21" s="416"/>
      <c r="C21" s="864" t="s">
        <v>896</v>
      </c>
      <c r="D21" s="865" t="s">
        <v>897</v>
      </c>
      <c r="E21" s="866">
        <v>10495</v>
      </c>
      <c r="F21" s="594">
        <f t="shared" ref="F21:F32" si="9">E21*(1-20%)</f>
        <v>8396</v>
      </c>
      <c r="G21" s="41">
        <f>F21*B21</f>
        <v>0</v>
      </c>
      <c r="H21" s="39">
        <f t="shared" si="1"/>
        <v>263.38252</v>
      </c>
      <c r="I21" s="40">
        <f>H21*B21</f>
        <v>0</v>
      </c>
      <c r="J21" s="39">
        <f t="shared" si="3"/>
        <v>230.0504</v>
      </c>
      <c r="K21" s="40">
        <f>J21*B21</f>
        <v>0</v>
      </c>
      <c r="L21" s="39">
        <f t="shared" si="5"/>
        <v>191.4288</v>
      </c>
      <c r="M21" s="39">
        <f>L21*B21</f>
        <v>0</v>
      </c>
      <c r="N21" s="39">
        <f t="shared" si="7"/>
        <v>171.2784</v>
      </c>
      <c r="O21" s="39">
        <f>N21*B21</f>
        <v>0</v>
      </c>
      <c r="P21" s="39">
        <f t="shared" ref="P21:P32" si="10">F21*0.0185</f>
        <v>155.32599999999999</v>
      </c>
      <c r="Q21" s="39">
        <f t="shared" ref="Q21:Q32" si="11">P21*B21</f>
        <v>0</v>
      </c>
    </row>
    <row r="22" spans="1:17" s="291" customFormat="1" ht="13.5" thickBot="1">
      <c r="A22" s="1006"/>
      <c r="B22" s="416"/>
      <c r="C22" s="864" t="s">
        <v>898</v>
      </c>
      <c r="D22" s="865" t="s">
        <v>899</v>
      </c>
      <c r="E22" s="866">
        <v>16995</v>
      </c>
      <c r="F22" s="594">
        <f t="shared" si="9"/>
        <v>13596</v>
      </c>
      <c r="G22" s="41">
        <f t="shared" si="0"/>
        <v>0</v>
      </c>
      <c r="H22" s="39">
        <f t="shared" si="1"/>
        <v>426.50652000000002</v>
      </c>
      <c r="I22" s="40">
        <f t="shared" si="2"/>
        <v>0</v>
      </c>
      <c r="J22" s="39">
        <f t="shared" si="3"/>
        <v>372.53039999999999</v>
      </c>
      <c r="K22" s="40">
        <f t="shared" si="4"/>
        <v>0</v>
      </c>
      <c r="L22" s="39">
        <f t="shared" si="5"/>
        <v>309.98880000000003</v>
      </c>
      <c r="M22" s="39">
        <f t="shared" si="6"/>
        <v>0</v>
      </c>
      <c r="N22" s="39">
        <f t="shared" si="7"/>
        <v>277.35840000000002</v>
      </c>
      <c r="O22" s="39">
        <f t="shared" si="8"/>
        <v>0</v>
      </c>
      <c r="P22" s="39">
        <f t="shared" si="10"/>
        <v>251.52599999999998</v>
      </c>
      <c r="Q22" s="39">
        <f t="shared" si="11"/>
        <v>0</v>
      </c>
    </row>
    <row r="23" spans="1:17" s="291" customFormat="1" ht="13.5" thickBot="1">
      <c r="A23" s="1006"/>
      <c r="B23" s="416"/>
      <c r="C23" s="864" t="s">
        <v>900</v>
      </c>
      <c r="D23" s="865" t="s">
        <v>901</v>
      </c>
      <c r="E23" s="866">
        <v>17995</v>
      </c>
      <c r="F23" s="594">
        <f t="shared" si="9"/>
        <v>14396</v>
      </c>
      <c r="G23" s="41">
        <f t="shared" si="0"/>
        <v>0</v>
      </c>
      <c r="H23" s="39">
        <f t="shared" si="1"/>
        <v>451.60252000000003</v>
      </c>
      <c r="I23" s="40">
        <f t="shared" si="2"/>
        <v>0</v>
      </c>
      <c r="J23" s="39">
        <f t="shared" si="3"/>
        <v>394.4504</v>
      </c>
      <c r="K23" s="40">
        <f t="shared" si="4"/>
        <v>0</v>
      </c>
      <c r="L23" s="39">
        <f t="shared" si="5"/>
        <v>328.22880000000004</v>
      </c>
      <c r="M23" s="39">
        <f t="shared" si="6"/>
        <v>0</v>
      </c>
      <c r="N23" s="39">
        <f t="shared" si="7"/>
        <v>293.67840000000001</v>
      </c>
      <c r="O23" s="39">
        <f t="shared" si="8"/>
        <v>0</v>
      </c>
      <c r="P23" s="39">
        <f t="shared" si="10"/>
        <v>266.32599999999996</v>
      </c>
      <c r="Q23" s="39">
        <f t="shared" si="11"/>
        <v>0</v>
      </c>
    </row>
    <row r="24" spans="1:17" s="291" customFormat="1" ht="13.5" thickBot="1">
      <c r="A24" s="1006"/>
      <c r="B24" s="416"/>
      <c r="C24" s="864" t="s">
        <v>869</v>
      </c>
      <c r="D24" s="865" t="s">
        <v>902</v>
      </c>
      <c r="E24" s="866">
        <v>1500</v>
      </c>
      <c r="F24" s="594">
        <f t="shared" si="9"/>
        <v>1200</v>
      </c>
      <c r="G24" s="41">
        <f t="shared" si="0"/>
        <v>0</v>
      </c>
      <c r="H24" s="39">
        <f t="shared" si="1"/>
        <v>37.644000000000005</v>
      </c>
      <c r="I24" s="40">
        <f t="shared" si="2"/>
        <v>0</v>
      </c>
      <c r="J24" s="39">
        <f t="shared" si="3"/>
        <v>32.880000000000003</v>
      </c>
      <c r="K24" s="40">
        <f t="shared" si="4"/>
        <v>0</v>
      </c>
      <c r="L24" s="39">
        <f t="shared" si="5"/>
        <v>27.36</v>
      </c>
      <c r="M24" s="39">
        <f t="shared" si="6"/>
        <v>0</v>
      </c>
      <c r="N24" s="39">
        <f t="shared" si="7"/>
        <v>24.48</v>
      </c>
      <c r="O24" s="39">
        <f t="shared" si="8"/>
        <v>0</v>
      </c>
      <c r="P24" s="39">
        <f t="shared" si="10"/>
        <v>22.2</v>
      </c>
      <c r="Q24" s="39">
        <f t="shared" si="11"/>
        <v>0</v>
      </c>
    </row>
    <row r="25" spans="1:17" s="291" customFormat="1" ht="13.5" thickBot="1">
      <c r="A25" s="1006"/>
      <c r="B25" s="416"/>
      <c r="C25" s="864" t="s">
        <v>903</v>
      </c>
      <c r="D25" s="865" t="s">
        <v>904</v>
      </c>
      <c r="E25" s="866">
        <v>1400</v>
      </c>
      <c r="F25" s="594">
        <f t="shared" si="9"/>
        <v>1120</v>
      </c>
      <c r="G25" s="41">
        <f t="shared" si="0"/>
        <v>0</v>
      </c>
      <c r="H25" s="39">
        <f t="shared" si="1"/>
        <v>35.134399999999999</v>
      </c>
      <c r="I25" s="40">
        <f t="shared" si="2"/>
        <v>0</v>
      </c>
      <c r="J25" s="39">
        <f t="shared" si="3"/>
        <v>30.688000000000002</v>
      </c>
      <c r="K25" s="40">
        <f t="shared" si="4"/>
        <v>0</v>
      </c>
      <c r="L25" s="39">
        <f t="shared" si="5"/>
        <v>25.536000000000001</v>
      </c>
      <c r="M25" s="39">
        <f t="shared" si="6"/>
        <v>0</v>
      </c>
      <c r="N25" s="39">
        <f t="shared" si="7"/>
        <v>22.848000000000003</v>
      </c>
      <c r="O25" s="39">
        <f t="shared" si="8"/>
        <v>0</v>
      </c>
      <c r="P25" s="39">
        <f t="shared" si="10"/>
        <v>20.72</v>
      </c>
      <c r="Q25" s="39">
        <f t="shared" si="11"/>
        <v>0</v>
      </c>
    </row>
    <row r="26" spans="1:17" s="291" customFormat="1" ht="12.6" customHeight="1" thickBot="1">
      <c r="A26" s="1006"/>
      <c r="B26" s="416"/>
      <c r="C26" s="864" t="s">
        <v>905</v>
      </c>
      <c r="D26" s="865" t="s">
        <v>906</v>
      </c>
      <c r="E26" s="866">
        <v>1400</v>
      </c>
      <c r="F26" s="594">
        <f t="shared" si="9"/>
        <v>1120</v>
      </c>
      <c r="G26" s="41">
        <f t="shared" si="0"/>
        <v>0</v>
      </c>
      <c r="H26" s="39">
        <f t="shared" si="1"/>
        <v>35.134399999999999</v>
      </c>
      <c r="I26" s="40">
        <f t="shared" si="2"/>
        <v>0</v>
      </c>
      <c r="J26" s="39">
        <f t="shared" si="3"/>
        <v>30.688000000000002</v>
      </c>
      <c r="K26" s="40">
        <f t="shared" si="4"/>
        <v>0</v>
      </c>
      <c r="L26" s="39">
        <f t="shared" si="5"/>
        <v>25.536000000000001</v>
      </c>
      <c r="M26" s="39">
        <f t="shared" si="6"/>
        <v>0</v>
      </c>
      <c r="N26" s="39">
        <f t="shared" si="7"/>
        <v>22.848000000000003</v>
      </c>
      <c r="O26" s="39">
        <f t="shared" si="8"/>
        <v>0</v>
      </c>
      <c r="P26" s="39">
        <f t="shared" si="10"/>
        <v>20.72</v>
      </c>
      <c r="Q26" s="39">
        <f t="shared" si="11"/>
        <v>0</v>
      </c>
    </row>
    <row r="27" spans="1:17" s="519" customFormat="1" ht="13.5" thickBot="1">
      <c r="A27" s="1006"/>
      <c r="B27" s="416"/>
      <c r="C27" s="864" t="s">
        <v>907</v>
      </c>
      <c r="D27" s="865" t="s">
        <v>908</v>
      </c>
      <c r="E27" s="866">
        <v>1200</v>
      </c>
      <c r="F27" s="594">
        <f t="shared" si="9"/>
        <v>960</v>
      </c>
      <c r="G27" s="41">
        <f>F27*B27</f>
        <v>0</v>
      </c>
      <c r="H27" s="39">
        <f t="shared" si="1"/>
        <v>30.115200000000002</v>
      </c>
      <c r="I27" s="40">
        <f>H27*B27</f>
        <v>0</v>
      </c>
      <c r="J27" s="39">
        <f t="shared" si="3"/>
        <v>26.304000000000002</v>
      </c>
      <c r="K27" s="40">
        <f>J27*B27</f>
        <v>0</v>
      </c>
      <c r="L27" s="39">
        <f t="shared" si="5"/>
        <v>21.888000000000002</v>
      </c>
      <c r="M27" s="39">
        <f>L27*B27</f>
        <v>0</v>
      </c>
      <c r="N27" s="39">
        <f t="shared" si="7"/>
        <v>19.584000000000003</v>
      </c>
      <c r="O27" s="39">
        <f>N27*B27</f>
        <v>0</v>
      </c>
      <c r="P27" s="39">
        <f t="shared" si="10"/>
        <v>17.759999999999998</v>
      </c>
      <c r="Q27" s="39">
        <f t="shared" si="11"/>
        <v>0</v>
      </c>
    </row>
    <row r="28" spans="1:17" s="291" customFormat="1" ht="13.5" thickBot="1">
      <c r="A28" s="1006"/>
      <c r="B28" s="416"/>
      <c r="C28" s="864" t="s">
        <v>909</v>
      </c>
      <c r="D28" s="865" t="s">
        <v>910</v>
      </c>
      <c r="E28" s="866">
        <v>1200</v>
      </c>
      <c r="F28" s="594">
        <f t="shared" si="9"/>
        <v>960</v>
      </c>
      <c r="G28" s="41">
        <f>F28*B28</f>
        <v>0</v>
      </c>
      <c r="H28" s="39">
        <f t="shared" si="1"/>
        <v>30.115200000000002</v>
      </c>
      <c r="I28" s="40">
        <f>H28*B28</f>
        <v>0</v>
      </c>
      <c r="J28" s="39">
        <f t="shared" si="3"/>
        <v>26.304000000000002</v>
      </c>
      <c r="K28" s="40">
        <f>J28*B28</f>
        <v>0</v>
      </c>
      <c r="L28" s="39">
        <f t="shared" si="5"/>
        <v>21.888000000000002</v>
      </c>
      <c r="M28" s="39">
        <f>L28*B28</f>
        <v>0</v>
      </c>
      <c r="N28" s="39">
        <f t="shared" si="7"/>
        <v>19.584000000000003</v>
      </c>
      <c r="O28" s="39">
        <f>N28*B28</f>
        <v>0</v>
      </c>
      <c r="P28" s="39">
        <f t="shared" si="10"/>
        <v>17.759999999999998</v>
      </c>
      <c r="Q28" s="39">
        <f t="shared" si="11"/>
        <v>0</v>
      </c>
    </row>
    <row r="29" spans="1:17" s="291" customFormat="1" ht="13.5" thickBot="1">
      <c r="A29" s="1006"/>
      <c r="B29" s="416"/>
      <c r="C29" s="864" t="s">
        <v>879</v>
      </c>
      <c r="D29" s="865" t="s">
        <v>911</v>
      </c>
      <c r="E29" s="866">
        <v>995</v>
      </c>
      <c r="F29" s="594">
        <f t="shared" si="9"/>
        <v>796</v>
      </c>
      <c r="G29" s="41">
        <f>F29*B29</f>
        <v>0</v>
      </c>
      <c r="H29" s="39">
        <f t="shared" si="1"/>
        <v>24.97052</v>
      </c>
      <c r="I29" s="40">
        <f>H29*B29</f>
        <v>0</v>
      </c>
      <c r="J29" s="39">
        <f t="shared" si="3"/>
        <v>21.810400000000001</v>
      </c>
      <c r="K29" s="40">
        <f>J29*B29</f>
        <v>0</v>
      </c>
      <c r="L29" s="39">
        <f t="shared" si="5"/>
        <v>18.148800000000001</v>
      </c>
      <c r="M29" s="39">
        <f>L29*B29</f>
        <v>0</v>
      </c>
      <c r="N29" s="39">
        <f t="shared" si="7"/>
        <v>16.238400000000002</v>
      </c>
      <c r="O29" s="39">
        <f>N29*B29</f>
        <v>0</v>
      </c>
      <c r="P29" s="39">
        <f t="shared" si="10"/>
        <v>14.725999999999999</v>
      </c>
      <c r="Q29" s="39">
        <f t="shared" si="11"/>
        <v>0</v>
      </c>
    </row>
    <row r="30" spans="1:17" s="291" customFormat="1" ht="12.6" customHeight="1" thickBot="1">
      <c r="A30" s="1006"/>
      <c r="B30" s="416"/>
      <c r="C30" s="864" t="s">
        <v>881</v>
      </c>
      <c r="D30" s="865" t="s">
        <v>912</v>
      </c>
      <c r="E30" s="866">
        <v>995</v>
      </c>
      <c r="F30" s="594">
        <f t="shared" si="9"/>
        <v>796</v>
      </c>
      <c r="G30" s="41">
        <f>F30*B30</f>
        <v>0</v>
      </c>
      <c r="H30" s="39">
        <f t="shared" si="1"/>
        <v>24.97052</v>
      </c>
      <c r="I30" s="40">
        <f>H30*B30</f>
        <v>0</v>
      </c>
      <c r="J30" s="39">
        <f t="shared" si="3"/>
        <v>21.810400000000001</v>
      </c>
      <c r="K30" s="40">
        <f>J30*B30</f>
        <v>0</v>
      </c>
      <c r="L30" s="39">
        <f t="shared" si="5"/>
        <v>18.148800000000001</v>
      </c>
      <c r="M30" s="39">
        <f>L30*B30</f>
        <v>0</v>
      </c>
      <c r="N30" s="39">
        <f t="shared" si="7"/>
        <v>16.238400000000002</v>
      </c>
      <c r="O30" s="39">
        <f>N30*B30</f>
        <v>0</v>
      </c>
      <c r="P30" s="39">
        <f t="shared" si="10"/>
        <v>14.725999999999999</v>
      </c>
      <c r="Q30" s="39">
        <f t="shared" si="11"/>
        <v>0</v>
      </c>
    </row>
    <row r="31" spans="1:17" s="291" customFormat="1" ht="13.5" thickBot="1">
      <c r="A31" s="1006"/>
      <c r="B31" s="416"/>
      <c r="C31" s="864" t="s">
        <v>913</v>
      </c>
      <c r="D31" s="865" t="s">
        <v>914</v>
      </c>
      <c r="E31" s="866">
        <v>995</v>
      </c>
      <c r="F31" s="594">
        <f t="shared" si="9"/>
        <v>796</v>
      </c>
      <c r="G31" s="41">
        <f t="shared" si="0"/>
        <v>0</v>
      </c>
      <c r="H31" s="39">
        <f t="shared" si="1"/>
        <v>24.97052</v>
      </c>
      <c r="I31" s="40">
        <f t="shared" si="2"/>
        <v>0</v>
      </c>
      <c r="J31" s="39">
        <f t="shared" si="3"/>
        <v>21.810400000000001</v>
      </c>
      <c r="K31" s="40">
        <f t="shared" si="4"/>
        <v>0</v>
      </c>
      <c r="L31" s="39">
        <f t="shared" si="5"/>
        <v>18.148800000000001</v>
      </c>
      <c r="M31" s="39">
        <f t="shared" si="6"/>
        <v>0</v>
      </c>
      <c r="N31" s="39">
        <f t="shared" si="7"/>
        <v>16.238400000000002</v>
      </c>
      <c r="O31" s="39">
        <f t="shared" si="8"/>
        <v>0</v>
      </c>
      <c r="P31" s="39">
        <f t="shared" si="10"/>
        <v>14.725999999999999</v>
      </c>
      <c r="Q31" s="39">
        <f t="shared" si="11"/>
        <v>0</v>
      </c>
    </row>
    <row r="32" spans="1:17" s="291" customFormat="1" ht="13.5" thickBot="1">
      <c r="A32" s="1007"/>
      <c r="B32" s="416"/>
      <c r="C32" s="864" t="s">
        <v>915</v>
      </c>
      <c r="D32" s="865" t="s">
        <v>916</v>
      </c>
      <c r="E32" s="866">
        <v>995</v>
      </c>
      <c r="F32" s="594">
        <f t="shared" si="9"/>
        <v>796</v>
      </c>
      <c r="G32" s="41">
        <f t="shared" si="0"/>
        <v>0</v>
      </c>
      <c r="H32" s="39">
        <f t="shared" si="1"/>
        <v>24.97052</v>
      </c>
      <c r="I32" s="40">
        <f t="shared" si="2"/>
        <v>0</v>
      </c>
      <c r="J32" s="39">
        <f t="shared" si="3"/>
        <v>21.810400000000001</v>
      </c>
      <c r="K32" s="40">
        <f t="shared" si="4"/>
        <v>0</v>
      </c>
      <c r="L32" s="39">
        <f t="shared" si="5"/>
        <v>18.148800000000001</v>
      </c>
      <c r="M32" s="39">
        <f t="shared" si="6"/>
        <v>0</v>
      </c>
      <c r="N32" s="39">
        <f t="shared" si="7"/>
        <v>16.238400000000002</v>
      </c>
      <c r="O32" s="39">
        <f t="shared" si="8"/>
        <v>0</v>
      </c>
      <c r="P32" s="39">
        <f t="shared" si="10"/>
        <v>14.725999999999999</v>
      </c>
      <c r="Q32" s="39">
        <f t="shared" si="11"/>
        <v>0</v>
      </c>
    </row>
    <row r="33" spans="1:17" s="291" customFormat="1" ht="15">
      <c r="A33" s="519"/>
      <c r="B33" s="258"/>
      <c r="C33" s="258"/>
      <c r="D33" s="1008" t="s">
        <v>65</v>
      </c>
      <c r="E33" s="1088"/>
      <c r="F33" s="1261"/>
      <c r="G33" s="520">
        <f>SUM(G20:G32)+G17</f>
        <v>0</v>
      </c>
      <c r="H33" s="867" t="s">
        <v>67</v>
      </c>
      <c r="I33" s="520">
        <f>SUM(I20:I32)+I17</f>
        <v>0</v>
      </c>
      <c r="J33" s="867" t="s">
        <v>68</v>
      </c>
      <c r="K33" s="520">
        <f>SUM(K20:K32)+K17</f>
        <v>0</v>
      </c>
      <c r="L33" s="867" t="s">
        <v>69</v>
      </c>
      <c r="M33" s="520">
        <f>SUM(M20:M32)+M17</f>
        <v>0</v>
      </c>
      <c r="N33" s="867" t="s">
        <v>860</v>
      </c>
      <c r="O33" s="520">
        <f>SUM(O20:O32)+O17</f>
        <v>0</v>
      </c>
      <c r="P33" s="867" t="s">
        <v>861</v>
      </c>
      <c r="Q33" s="520">
        <f>SUM(Q20:Q32)+Q17</f>
        <v>0</v>
      </c>
    </row>
    <row r="34" spans="1:17" s="291" customFormat="1">
      <c r="A34" s="315"/>
      <c r="B34" s="256"/>
      <c r="C34" s="256"/>
      <c r="D34" s="315"/>
      <c r="E34" s="315"/>
      <c r="F34" s="868"/>
      <c r="G34" s="868"/>
      <c r="H34" s="869"/>
      <c r="I34" s="869"/>
      <c r="J34" s="869"/>
      <c r="K34" s="869"/>
      <c r="L34" s="869"/>
      <c r="M34" s="869"/>
      <c r="N34" s="869"/>
      <c r="O34" s="869"/>
      <c r="P34" s="869"/>
      <c r="Q34" s="869"/>
    </row>
    <row r="35" spans="1:17" s="291" customFormat="1" ht="15.75">
      <c r="A35" s="256"/>
      <c r="B35" s="521"/>
      <c r="C35" s="521"/>
      <c r="D35" s="522"/>
      <c r="E35" s="522"/>
      <c r="F35" s="870"/>
      <c r="G35" s="831"/>
      <c r="H35" s="271"/>
      <c r="I35" s="271"/>
      <c r="J35" s="271"/>
      <c r="K35" s="271"/>
      <c r="L35" s="271"/>
      <c r="M35" s="271"/>
      <c r="N35" s="271"/>
      <c r="O35" s="271"/>
      <c r="P35" s="271"/>
      <c r="Q35" s="271"/>
    </row>
    <row r="36" spans="1:17" s="519" customFormat="1">
      <c r="A36" s="256"/>
      <c r="B36" s="256"/>
      <c r="C36" s="256"/>
      <c r="D36" s="256"/>
      <c r="E36" s="256"/>
      <c r="F36" s="870"/>
      <c r="G36" s="831"/>
      <c r="H36" s="271"/>
      <c r="I36" s="271"/>
      <c r="J36" s="271"/>
      <c r="K36" s="271"/>
      <c r="L36" s="271"/>
      <c r="M36" s="271"/>
      <c r="N36" s="271"/>
      <c r="O36" s="271"/>
      <c r="P36" s="271"/>
      <c r="Q36" s="271"/>
    </row>
    <row r="37" spans="1:17" s="519" customFormat="1">
      <c r="A37" s="256"/>
      <c r="B37" s="256"/>
      <c r="C37" s="256"/>
      <c r="D37" s="256"/>
      <c r="E37" s="256"/>
      <c r="F37" s="831"/>
      <c r="G37" s="831"/>
      <c r="H37" s="271"/>
      <c r="I37" s="271"/>
      <c r="J37" s="271"/>
      <c r="K37" s="271"/>
      <c r="L37" s="271"/>
      <c r="M37" s="271"/>
      <c r="N37" s="271"/>
      <c r="O37" s="271"/>
      <c r="P37" s="271"/>
      <c r="Q37" s="271"/>
    </row>
    <row r="38" spans="1:17" s="524" customFormat="1" hidden="1">
      <c r="A38" s="256"/>
      <c r="B38" s="256"/>
      <c r="C38" s="256"/>
      <c r="D38" s="256"/>
      <c r="E38" s="256"/>
      <c r="F38" s="831"/>
      <c r="G38" s="831"/>
      <c r="H38" s="271"/>
      <c r="I38" s="271"/>
      <c r="J38" s="271"/>
      <c r="K38" s="271"/>
      <c r="L38" s="271"/>
      <c r="M38" s="271"/>
      <c r="N38" s="271"/>
      <c r="O38" s="271"/>
      <c r="P38" s="271"/>
      <c r="Q38" s="271"/>
    </row>
    <row r="39" spans="1:17" s="519" customFormat="1">
      <c r="A39" s="256"/>
      <c r="B39" s="256"/>
      <c r="C39" s="256"/>
      <c r="D39" s="256"/>
      <c r="E39" s="256"/>
      <c r="F39" s="333"/>
      <c r="G39" s="831"/>
      <c r="H39" s="256"/>
      <c r="I39" s="271"/>
      <c r="J39" s="256"/>
      <c r="K39" s="271"/>
      <c r="L39" s="859">
        <f>F39*0.0256</f>
        <v>0</v>
      </c>
      <c r="M39" s="271"/>
      <c r="N39" s="256"/>
      <c r="O39" s="271"/>
      <c r="P39" s="256"/>
      <c r="Q39" s="271"/>
    </row>
    <row r="40" spans="1:17" s="315" customFormat="1">
      <c r="A40" s="256"/>
      <c r="B40" s="256"/>
      <c r="C40" s="256"/>
      <c r="D40" s="256"/>
      <c r="E40" s="256"/>
      <c r="F40" s="333"/>
      <c r="G40" s="333"/>
      <c r="H40" s="256"/>
      <c r="I40" s="256"/>
      <c r="J40" s="256"/>
      <c r="K40" s="256"/>
      <c r="L40" s="256"/>
      <c r="M40" s="256"/>
      <c r="N40" s="256"/>
      <c r="O40" s="256"/>
      <c r="P40" s="256"/>
      <c r="Q40" s="256"/>
    </row>
    <row r="53" spans="2:3">
      <c r="B53" s="258"/>
      <c r="C53" s="258"/>
    </row>
  </sheetData>
  <mergeCells count="20">
    <mergeCell ref="A4:O4"/>
    <mergeCell ref="A5:O5"/>
    <mergeCell ref="A10:Q10"/>
    <mergeCell ref="A11:Q11"/>
    <mergeCell ref="A12:H12"/>
    <mergeCell ref="I12:Q12"/>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C4D7-ACB9-4E04-BCC6-A9754CB8AF5F}">
  <sheetPr>
    <tabColor indexed="44"/>
  </sheetPr>
  <dimension ref="A1:R48"/>
  <sheetViews>
    <sheetView zoomScale="65" zoomScaleNormal="65" workbookViewId="0">
      <selection activeCell="A5" sqref="A5:N5"/>
    </sheetView>
  </sheetViews>
  <sheetFormatPr defaultColWidth="8.85546875" defaultRowHeight="12.75"/>
  <cols>
    <col min="1" max="1" width="15" style="256" customWidth="1"/>
    <col min="2" max="2" width="10" style="256" customWidth="1"/>
    <col min="3" max="3" width="17.140625" style="256" customWidth="1"/>
    <col min="4" max="4" width="44.42578125" style="256" customWidth="1"/>
    <col min="5" max="5" width="17.42578125" style="256" customWidth="1"/>
    <col min="6" max="6" width="15.5703125" style="333" customWidth="1"/>
    <col min="7" max="7" width="23.42578125" style="333" customWidth="1"/>
    <col min="8" max="8" width="28.28515625" style="256" customWidth="1"/>
    <col min="9" max="9" width="19" style="256" customWidth="1"/>
    <col min="10" max="10" width="25" style="256" customWidth="1"/>
    <col min="11" max="11" width="19" style="256" customWidth="1"/>
    <col min="12" max="12" width="25" style="256" customWidth="1"/>
    <col min="13" max="13" width="18.42578125" style="256" customWidth="1"/>
    <col min="14" max="14" width="25" style="256" customWidth="1"/>
    <col min="15" max="15" width="19.28515625" style="256" customWidth="1"/>
    <col min="16" max="16" width="25" style="256" bestFit="1" customWidth="1"/>
    <col min="17" max="17" width="19.28515625" style="256" customWidth="1"/>
    <col min="18"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1019</v>
      </c>
      <c r="B4" s="1020"/>
      <c r="C4" s="1020"/>
      <c r="D4" s="1020"/>
      <c r="E4" s="1020"/>
      <c r="F4" s="1020"/>
      <c r="G4" s="1020"/>
      <c r="H4" s="1020"/>
      <c r="I4" s="1020"/>
      <c r="J4" s="1020"/>
      <c r="K4" s="1020"/>
      <c r="L4" s="1020"/>
      <c r="M4" s="1020"/>
      <c r="N4" s="1020"/>
      <c r="O4" s="1020"/>
    </row>
    <row r="5" spans="1:18" s="266" customFormat="1" ht="41.25" customHeight="1">
      <c r="A5" s="1188" t="s">
        <v>843</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F8" s="446"/>
      <c r="G8" s="446"/>
      <c r="H8" s="1262"/>
      <c r="I8" s="1262"/>
      <c r="J8" s="1262"/>
      <c r="K8" s="507"/>
    </row>
    <row r="9" spans="1:18" s="265" customFormat="1">
      <c r="F9" s="446"/>
      <c r="G9" s="446"/>
      <c r="H9" s="270"/>
    </row>
    <row r="10" spans="1:18" s="265" customFormat="1">
      <c r="F10" s="446"/>
      <c r="G10" s="446"/>
      <c r="H10" s="270"/>
      <c r="J10" s="282"/>
      <c r="L10" s="282"/>
    </row>
    <row r="11" spans="1:18" s="265" customFormat="1" ht="12" customHeight="1">
      <c r="F11" s="446"/>
      <c r="G11" s="446"/>
      <c r="H11" s="270"/>
      <c r="I11" s="282"/>
      <c r="J11" s="282"/>
      <c r="L11" s="282"/>
    </row>
    <row r="12" spans="1:18" s="265" customFormat="1" ht="18.75" thickBot="1">
      <c r="A12" s="1263" t="s">
        <v>30</v>
      </c>
      <c r="B12" s="1230"/>
      <c r="C12" s="1230"/>
      <c r="D12" s="1230"/>
      <c r="E12" s="1230"/>
      <c r="F12" s="1230"/>
      <c r="G12" s="1230"/>
      <c r="H12" s="1230"/>
      <c r="I12" s="1230"/>
      <c r="J12" s="1230"/>
      <c r="K12" s="1230"/>
      <c r="L12" s="1230"/>
      <c r="M12" s="1230"/>
      <c r="N12" s="1230"/>
      <c r="O12" s="1230"/>
      <c r="P12" s="1230"/>
      <c r="Q12" s="1230"/>
    </row>
    <row r="13" spans="1:18" s="265" customFormat="1" ht="18" customHeight="1">
      <c r="A13" s="1264" t="s">
        <v>1020</v>
      </c>
      <c r="B13" s="1265"/>
      <c r="C13" s="1265"/>
      <c r="D13" s="1265"/>
      <c r="E13" s="1265"/>
      <c r="F13" s="1265"/>
      <c r="G13" s="1265"/>
      <c r="H13" s="1265"/>
      <c r="I13" s="1265"/>
      <c r="J13" s="1265"/>
      <c r="K13" s="1265"/>
      <c r="L13" s="1265"/>
      <c r="M13" s="1265"/>
      <c r="N13" s="1265"/>
      <c r="O13" s="1265"/>
      <c r="P13" s="1265"/>
      <c r="Q13" s="1266"/>
    </row>
    <row r="14" spans="1:18" s="265" customFormat="1" ht="18" customHeight="1">
      <c r="A14" s="1219" t="s">
        <v>845</v>
      </c>
      <c r="B14" s="1220"/>
      <c r="C14" s="1220"/>
      <c r="D14" s="1220"/>
      <c r="E14" s="1220"/>
      <c r="F14" s="1220"/>
      <c r="G14" s="1220"/>
      <c r="H14" s="1220"/>
      <c r="I14" s="1255">
        <v>600</v>
      </c>
      <c r="J14" s="1255"/>
      <c r="K14" s="1255"/>
      <c r="L14" s="1255"/>
      <c r="M14" s="1255"/>
      <c r="N14" s="1255"/>
      <c r="O14" s="1255"/>
      <c r="P14" s="1255"/>
      <c r="Q14" s="1267"/>
    </row>
    <row r="15" spans="1:18" s="265" customFormat="1" ht="18" customHeight="1" thickBot="1">
      <c r="A15" s="1221" t="s">
        <v>846</v>
      </c>
      <c r="B15" s="1222"/>
      <c r="C15" s="1222"/>
      <c r="D15" s="1222"/>
      <c r="E15" s="1222"/>
      <c r="F15" s="1222"/>
      <c r="G15" s="1222"/>
      <c r="H15" s="1222"/>
      <c r="I15" s="1222"/>
      <c r="J15" s="1222"/>
      <c r="K15" s="1222"/>
      <c r="L15" s="1222"/>
      <c r="M15" s="1222"/>
      <c r="N15" s="1222"/>
      <c r="O15" s="1222"/>
      <c r="P15" s="1222"/>
      <c r="Q15" s="1223"/>
    </row>
    <row r="16" spans="1:18" s="265" customFormat="1" ht="15" thickBot="1">
      <c r="D16" s="277"/>
      <c r="E16" s="277"/>
      <c r="F16" s="283"/>
      <c r="G16" s="283"/>
      <c r="I16" s="288"/>
      <c r="J16" s="288"/>
      <c r="K16" s="288"/>
      <c r="L16" s="288"/>
    </row>
    <row r="17" spans="1:18" s="265" customFormat="1" ht="13.5" thickBot="1">
      <c r="F17" s="1021" t="s">
        <v>43</v>
      </c>
      <c r="G17" s="1022"/>
      <c r="H17" s="1268" t="s">
        <v>44</v>
      </c>
      <c r="I17" s="1269"/>
      <c r="J17" s="1269"/>
      <c r="K17" s="1269"/>
      <c r="L17" s="1269"/>
      <c r="M17" s="1269"/>
      <c r="N17" s="1269"/>
      <c r="O17" s="1269"/>
      <c r="P17" s="1269"/>
      <c r="Q17" s="1269"/>
    </row>
    <row r="18" spans="1:18" s="265" customFormat="1" ht="57.75" customHeight="1" thickBot="1">
      <c r="A18" s="188" t="s">
        <v>45</v>
      </c>
      <c r="B18" s="188" t="s">
        <v>46</v>
      </c>
      <c r="C18" s="189" t="s">
        <v>47</v>
      </c>
      <c r="D18" s="189" t="s">
        <v>48</v>
      </c>
      <c r="E18" s="189" t="s">
        <v>49</v>
      </c>
      <c r="F18" s="189" t="s">
        <v>50</v>
      </c>
      <c r="G18" s="188" t="s">
        <v>51</v>
      </c>
      <c r="H18" s="189" t="s">
        <v>53</v>
      </c>
      <c r="I18" s="188" t="s">
        <v>51</v>
      </c>
      <c r="J18" s="189" t="s">
        <v>54</v>
      </c>
      <c r="K18" s="188" t="s">
        <v>51</v>
      </c>
      <c r="L18" s="189" t="s">
        <v>55</v>
      </c>
      <c r="M18" s="188" t="s">
        <v>51</v>
      </c>
      <c r="N18" s="189" t="s">
        <v>847</v>
      </c>
      <c r="O18" s="188" t="s">
        <v>51</v>
      </c>
      <c r="P18" s="189" t="s">
        <v>848</v>
      </c>
      <c r="Q18" s="188" t="s">
        <v>51</v>
      </c>
    </row>
    <row r="19" spans="1:18" s="265" customFormat="1" ht="46.5" customHeight="1" thickBot="1">
      <c r="A19" s="428">
        <v>48</v>
      </c>
      <c r="B19" s="191"/>
      <c r="C19" s="192" t="s">
        <v>1021</v>
      </c>
      <c r="D19" s="206" t="s">
        <v>1022</v>
      </c>
      <c r="E19" s="194">
        <v>17319.59</v>
      </c>
      <c r="F19" s="510">
        <f>SUM(E19:E19)*(1-22%)</f>
        <v>13509.280200000001</v>
      </c>
      <c r="G19" s="30">
        <f>F19*B19</f>
        <v>0</v>
      </c>
      <c r="H19" s="510">
        <f>F19*0.03137+I14/12</f>
        <v>473.78611987400006</v>
      </c>
      <c r="I19" s="30">
        <f>H19*B19</f>
        <v>0</v>
      </c>
      <c r="J19" s="510">
        <f>F19*0.0274+I14/12</f>
        <v>420.15427748000002</v>
      </c>
      <c r="K19" s="30">
        <f>J19*B19</f>
        <v>0</v>
      </c>
      <c r="L19" s="30">
        <f>F19*0.0228+I14/12</f>
        <v>358.01158856000001</v>
      </c>
      <c r="M19" s="30">
        <f>L19*B19</f>
        <v>0</v>
      </c>
      <c r="N19" s="30">
        <f>F19*0.0204+I14/12</f>
        <v>325.58931608000006</v>
      </c>
      <c r="O19" s="30">
        <f>N19*B19</f>
        <v>0</v>
      </c>
      <c r="P19" s="30">
        <f>F19*0.0185+I14/12</f>
        <v>299.92168370000002</v>
      </c>
      <c r="Q19" s="30">
        <f>P19*B19</f>
        <v>0</v>
      </c>
    </row>
    <row r="20" spans="1:18" s="198" customFormat="1" ht="15.75" customHeight="1" thickBot="1">
      <c r="A20" s="1250" t="s">
        <v>59</v>
      </c>
      <c r="B20" s="1251"/>
      <c r="C20" s="1251"/>
      <c r="D20" s="1251"/>
      <c r="E20" s="1251"/>
      <c r="F20" s="1251"/>
      <c r="G20" s="1251"/>
      <c r="H20" s="1251"/>
      <c r="I20" s="1251"/>
      <c r="J20" s="1251"/>
      <c r="K20" s="1251"/>
      <c r="L20" s="1251"/>
      <c r="M20" s="1251"/>
      <c r="N20" s="1251"/>
      <c r="O20" s="1251"/>
      <c r="P20" s="1251"/>
      <c r="Q20" s="1253"/>
    </row>
    <row r="21" spans="1:18" s="198" customFormat="1" ht="26.25" thickBot="1">
      <c r="A21" s="1006"/>
      <c r="B21" s="860"/>
      <c r="C21" s="862" t="s">
        <v>849</v>
      </c>
      <c r="D21" s="862" t="s">
        <v>850</v>
      </c>
      <c r="E21" s="863">
        <v>716.4948453608248</v>
      </c>
      <c r="F21" s="39">
        <f t="shared" ref="F21:F27" si="0">E21*(1-20%)</f>
        <v>573.19587628865986</v>
      </c>
      <c r="G21" s="599">
        <f t="shared" ref="G21:G27" si="1">F21*B21</f>
        <v>0</v>
      </c>
      <c r="H21" s="39">
        <f>F21*0.0325</f>
        <v>18.628865979381445</v>
      </c>
      <c r="I21" s="599">
        <f t="shared" ref="I21:I27" si="2">H21*B21</f>
        <v>0</v>
      </c>
      <c r="J21" s="39">
        <f>F21*0.0254</f>
        <v>14.55917525773196</v>
      </c>
      <c r="K21" s="599">
        <f t="shared" ref="K21:K27" si="3">J21*B21</f>
        <v>0</v>
      </c>
      <c r="L21" s="39">
        <f>F21*0.0211</f>
        <v>12.094432989690723</v>
      </c>
      <c r="M21" s="39">
        <f t="shared" ref="M21:M27" si="4">L21*B21</f>
        <v>0</v>
      </c>
      <c r="N21" s="39">
        <f>F21*0.0185</f>
        <v>10.604123711340208</v>
      </c>
      <c r="O21" s="39">
        <f t="shared" ref="O21:O27" si="5">N21*B21</f>
        <v>0</v>
      </c>
      <c r="P21" s="39">
        <f t="shared" ref="P21:P27" si="6">F21*0.0185</f>
        <v>10.604123711340208</v>
      </c>
      <c r="Q21" s="39">
        <f t="shared" ref="Q21:Q27" si="7">P21*B21</f>
        <v>0</v>
      </c>
      <c r="R21" s="528"/>
    </row>
    <row r="22" spans="1:18" s="198" customFormat="1" ht="13.5" thickBot="1">
      <c r="A22" s="1006"/>
      <c r="B22" s="873"/>
      <c r="C22" s="709" t="s">
        <v>851</v>
      </c>
      <c r="D22" s="199" t="s">
        <v>852</v>
      </c>
      <c r="E22" s="512">
        <v>1025.7731958762886</v>
      </c>
      <c r="F22" s="594">
        <f t="shared" si="0"/>
        <v>820.61855670103091</v>
      </c>
      <c r="G22" s="599">
        <f t="shared" si="1"/>
        <v>0</v>
      </c>
      <c r="H22" s="39">
        <f t="shared" ref="H22:H27" si="8">F22*0.03137</f>
        <v>25.742804123711341</v>
      </c>
      <c r="I22" s="599">
        <f t="shared" si="2"/>
        <v>0</v>
      </c>
      <c r="J22" s="39">
        <f t="shared" ref="J22:J27" si="9">F22*0.0274</f>
        <v>22.484948453608247</v>
      </c>
      <c r="K22" s="599">
        <f t="shared" si="3"/>
        <v>0</v>
      </c>
      <c r="L22" s="39">
        <f t="shared" ref="L22:L27" si="10">F22*0.0228</f>
        <v>18.710103092783505</v>
      </c>
      <c r="M22" s="39">
        <f t="shared" si="4"/>
        <v>0</v>
      </c>
      <c r="N22" s="39">
        <f t="shared" ref="N22:N27" si="11">F22*0.0204</f>
        <v>16.740618556701033</v>
      </c>
      <c r="O22" s="39">
        <f t="shared" si="5"/>
        <v>0</v>
      </c>
      <c r="P22" s="39">
        <f t="shared" si="6"/>
        <v>15.181443298969072</v>
      </c>
      <c r="Q22" s="39">
        <f t="shared" si="7"/>
        <v>0</v>
      </c>
      <c r="R22" s="528"/>
    </row>
    <row r="23" spans="1:18" s="519" customFormat="1" ht="13.5" thickBot="1">
      <c r="A23" s="1172"/>
      <c r="B23" s="416"/>
      <c r="C23" s="865" t="s">
        <v>853</v>
      </c>
      <c r="D23" s="865" t="s">
        <v>854</v>
      </c>
      <c r="E23" s="866">
        <v>1958.7628865979382</v>
      </c>
      <c r="F23" s="594">
        <f t="shared" si="0"/>
        <v>1567.0103092783506</v>
      </c>
      <c r="G23" s="41">
        <f>F23*B23</f>
        <v>0</v>
      </c>
      <c r="H23" s="39">
        <f t="shared" si="8"/>
        <v>49.15711340206186</v>
      </c>
      <c r="I23" s="40">
        <f>H23*B23</f>
        <v>0</v>
      </c>
      <c r="J23" s="39">
        <f t="shared" si="9"/>
        <v>42.936082474226808</v>
      </c>
      <c r="K23" s="40">
        <f>J23*B23</f>
        <v>0</v>
      </c>
      <c r="L23" s="39">
        <f t="shared" si="10"/>
        <v>35.727835051546393</v>
      </c>
      <c r="M23" s="39">
        <f>L23*B23</f>
        <v>0</v>
      </c>
      <c r="N23" s="39">
        <f t="shared" si="11"/>
        <v>31.967010309278354</v>
      </c>
      <c r="O23" s="39">
        <f>N23*B23</f>
        <v>0</v>
      </c>
      <c r="P23" s="39">
        <f t="shared" si="6"/>
        <v>28.989690721649485</v>
      </c>
      <c r="Q23" s="39">
        <f t="shared" si="7"/>
        <v>0</v>
      </c>
      <c r="R23" s="528"/>
    </row>
    <row r="24" spans="1:18" s="291" customFormat="1" ht="26.25" thickBot="1">
      <c r="A24" s="1172"/>
      <c r="B24" s="416"/>
      <c r="C24" s="865" t="s">
        <v>855</v>
      </c>
      <c r="D24" s="865" t="s">
        <v>856</v>
      </c>
      <c r="E24" s="866">
        <v>2056.7010309278353</v>
      </c>
      <c r="F24" s="594">
        <f t="shared" si="0"/>
        <v>1645.3608247422683</v>
      </c>
      <c r="G24" s="41">
        <f t="shared" si="1"/>
        <v>0</v>
      </c>
      <c r="H24" s="39">
        <f t="shared" si="8"/>
        <v>51.614969072164961</v>
      </c>
      <c r="I24" s="40">
        <f t="shared" si="2"/>
        <v>0</v>
      </c>
      <c r="J24" s="39">
        <f t="shared" si="9"/>
        <v>45.082886597938149</v>
      </c>
      <c r="K24" s="40">
        <f t="shared" si="3"/>
        <v>0</v>
      </c>
      <c r="L24" s="39">
        <f t="shared" si="10"/>
        <v>37.514226804123716</v>
      </c>
      <c r="M24" s="39">
        <f t="shared" si="4"/>
        <v>0</v>
      </c>
      <c r="N24" s="39">
        <f t="shared" si="11"/>
        <v>33.565360824742278</v>
      </c>
      <c r="O24" s="39">
        <f t="shared" si="5"/>
        <v>0</v>
      </c>
      <c r="P24" s="39">
        <f t="shared" si="6"/>
        <v>30.439175257731961</v>
      </c>
      <c r="Q24" s="39">
        <f t="shared" si="7"/>
        <v>0</v>
      </c>
      <c r="R24" s="528"/>
    </row>
    <row r="25" spans="1:18" s="291" customFormat="1" ht="12.6" customHeight="1" thickBot="1">
      <c r="A25" s="1172"/>
      <c r="B25" s="416"/>
      <c r="C25" s="865" t="s">
        <v>832</v>
      </c>
      <c r="D25" s="865" t="s">
        <v>857</v>
      </c>
      <c r="E25" s="866">
        <v>298.96907216494844</v>
      </c>
      <c r="F25" s="594">
        <f t="shared" si="0"/>
        <v>239.17525773195877</v>
      </c>
      <c r="G25" s="41">
        <f t="shared" si="1"/>
        <v>0</v>
      </c>
      <c r="H25" s="39">
        <f t="shared" si="8"/>
        <v>7.5029278350515467</v>
      </c>
      <c r="I25" s="40">
        <f t="shared" si="2"/>
        <v>0</v>
      </c>
      <c r="J25" s="39">
        <f t="shared" si="9"/>
        <v>6.5534020618556701</v>
      </c>
      <c r="K25" s="40">
        <f t="shared" si="3"/>
        <v>0</v>
      </c>
      <c r="L25" s="39">
        <f t="shared" si="10"/>
        <v>5.4531958762886603</v>
      </c>
      <c r="M25" s="39">
        <f t="shared" si="4"/>
        <v>0</v>
      </c>
      <c r="N25" s="39">
        <f t="shared" si="11"/>
        <v>4.8791752577319594</v>
      </c>
      <c r="O25" s="39">
        <f t="shared" si="5"/>
        <v>0</v>
      </c>
      <c r="P25" s="39">
        <f t="shared" si="6"/>
        <v>4.4247422680412374</v>
      </c>
      <c r="Q25" s="39">
        <f t="shared" si="7"/>
        <v>0</v>
      </c>
      <c r="R25" s="528"/>
    </row>
    <row r="26" spans="1:18" s="291" customFormat="1" ht="13.5" thickBot="1">
      <c r="A26" s="1172"/>
      <c r="B26" s="416"/>
      <c r="C26" s="865" t="s">
        <v>858</v>
      </c>
      <c r="D26" s="865" t="s">
        <v>859</v>
      </c>
      <c r="E26" s="866">
        <v>819.58762886597935</v>
      </c>
      <c r="F26" s="594">
        <f t="shared" si="0"/>
        <v>655.67010309278351</v>
      </c>
      <c r="G26" s="41">
        <f t="shared" si="1"/>
        <v>0</v>
      </c>
      <c r="H26" s="39">
        <f t="shared" si="8"/>
        <v>20.568371134020619</v>
      </c>
      <c r="I26" s="40">
        <f t="shared" si="2"/>
        <v>0</v>
      </c>
      <c r="J26" s="39">
        <f t="shared" si="9"/>
        <v>17.96536082474227</v>
      </c>
      <c r="K26" s="40">
        <f t="shared" si="3"/>
        <v>0</v>
      </c>
      <c r="L26" s="39">
        <f t="shared" si="10"/>
        <v>14.949278350515465</v>
      </c>
      <c r="M26" s="39">
        <f t="shared" si="4"/>
        <v>0</v>
      </c>
      <c r="N26" s="39">
        <f t="shared" si="11"/>
        <v>13.375670103092785</v>
      </c>
      <c r="O26" s="39">
        <f t="shared" si="5"/>
        <v>0</v>
      </c>
      <c r="P26" s="39">
        <f t="shared" si="6"/>
        <v>12.129896907216494</v>
      </c>
      <c r="Q26" s="39">
        <f t="shared" si="7"/>
        <v>0</v>
      </c>
      <c r="R26" s="528"/>
    </row>
    <row r="27" spans="1:18" s="291" customFormat="1" ht="13.5" thickBot="1">
      <c r="A27" s="1173"/>
      <c r="B27" s="416"/>
      <c r="C27" s="865" t="s">
        <v>839</v>
      </c>
      <c r="D27" s="865" t="s">
        <v>841</v>
      </c>
      <c r="E27" s="866">
        <v>613.40206185567013</v>
      </c>
      <c r="F27" s="594">
        <f t="shared" si="0"/>
        <v>490.7216494845361</v>
      </c>
      <c r="G27" s="41">
        <f t="shared" si="1"/>
        <v>0</v>
      </c>
      <c r="H27" s="39">
        <f t="shared" si="8"/>
        <v>15.393938144329898</v>
      </c>
      <c r="I27" s="40">
        <f t="shared" si="2"/>
        <v>0</v>
      </c>
      <c r="J27" s="39">
        <f t="shared" si="9"/>
        <v>13.44577319587629</v>
      </c>
      <c r="K27" s="40">
        <f t="shared" si="3"/>
        <v>0</v>
      </c>
      <c r="L27" s="39">
        <f t="shared" si="10"/>
        <v>11.188453608247423</v>
      </c>
      <c r="M27" s="39">
        <f t="shared" si="4"/>
        <v>0</v>
      </c>
      <c r="N27" s="39">
        <f t="shared" si="11"/>
        <v>10.010721649484537</v>
      </c>
      <c r="O27" s="39">
        <f t="shared" si="5"/>
        <v>0</v>
      </c>
      <c r="P27" s="39">
        <f t="shared" si="6"/>
        <v>9.0783505154639172</v>
      </c>
      <c r="Q27" s="39">
        <f t="shared" si="7"/>
        <v>0</v>
      </c>
      <c r="R27" s="528"/>
    </row>
    <row r="28" spans="1:18" s="291" customFormat="1" ht="15">
      <c r="A28" s="519"/>
      <c r="B28" s="258"/>
      <c r="C28" s="258"/>
      <c r="D28" s="1008" t="s">
        <v>65</v>
      </c>
      <c r="E28" s="1088"/>
      <c r="F28" s="1261"/>
      <c r="G28" s="520">
        <f>SUM(G21:G27)+G19</f>
        <v>0</v>
      </c>
      <c r="H28" s="867" t="s">
        <v>67</v>
      </c>
      <c r="I28" s="520">
        <f>SUM(I21:I27)+I19</f>
        <v>0</v>
      </c>
      <c r="J28" s="867" t="s">
        <v>68</v>
      </c>
      <c r="K28" s="520">
        <f>SUM(K21:K27)+K19</f>
        <v>0</v>
      </c>
      <c r="L28" s="867" t="s">
        <v>69</v>
      </c>
      <c r="M28" s="520">
        <f>SUM(M21:M27)+M19</f>
        <v>0</v>
      </c>
      <c r="N28" s="867" t="s">
        <v>860</v>
      </c>
      <c r="O28" s="520">
        <f>SUM(O21:O27)+O19</f>
        <v>0</v>
      </c>
      <c r="P28" s="867" t="s">
        <v>861</v>
      </c>
      <c r="Q28" s="520">
        <f>SUM(Q21:Q27)+Q19</f>
        <v>0</v>
      </c>
    </row>
    <row r="29" spans="1:18" s="291" customFormat="1">
      <c r="A29" s="315"/>
      <c r="B29" s="256"/>
      <c r="C29" s="256"/>
      <c r="D29" s="315"/>
      <c r="E29" s="315"/>
      <c r="F29" s="868"/>
      <c r="G29" s="868"/>
      <c r="H29" s="869"/>
      <c r="I29" s="869"/>
      <c r="J29" s="869"/>
      <c r="K29" s="869"/>
      <c r="L29" s="869"/>
      <c r="M29" s="869"/>
      <c r="N29" s="869"/>
      <c r="O29" s="869"/>
      <c r="P29" s="869"/>
      <c r="Q29" s="869"/>
    </row>
    <row r="30" spans="1:18" s="291" customFormat="1" ht="15.75">
      <c r="A30" s="256"/>
      <c r="B30" s="521"/>
      <c r="C30" s="521"/>
      <c r="D30" s="522"/>
      <c r="E30" s="522"/>
      <c r="F30" s="870"/>
      <c r="G30" s="831"/>
      <c r="H30" s="271"/>
      <c r="I30" s="271"/>
      <c r="J30" s="271"/>
      <c r="K30" s="271"/>
      <c r="L30" s="271"/>
      <c r="M30" s="271"/>
      <c r="N30" s="271"/>
      <c r="O30" s="271"/>
      <c r="P30" s="271"/>
      <c r="Q30" s="271"/>
    </row>
    <row r="31" spans="1:18" s="519" customFormat="1">
      <c r="A31" s="256"/>
      <c r="B31" s="256"/>
      <c r="C31" s="256"/>
      <c r="D31" s="256"/>
      <c r="E31" s="256"/>
      <c r="F31" s="870"/>
      <c r="G31" s="831"/>
      <c r="H31" s="271"/>
      <c r="I31" s="271"/>
      <c r="J31" s="271"/>
      <c r="K31" s="271"/>
      <c r="L31" s="271"/>
      <c r="M31" s="271"/>
      <c r="N31" s="271"/>
      <c r="O31" s="271"/>
      <c r="P31" s="271"/>
      <c r="Q31" s="271"/>
    </row>
    <row r="32" spans="1:18" s="519" customFormat="1">
      <c r="A32" s="256"/>
      <c r="B32" s="256"/>
      <c r="C32" s="256"/>
      <c r="D32" s="256"/>
      <c r="E32" s="256"/>
      <c r="F32" s="831"/>
      <c r="G32" s="831"/>
      <c r="H32" s="271"/>
      <c r="I32" s="271"/>
      <c r="J32" s="271"/>
      <c r="K32" s="271"/>
      <c r="L32" s="271"/>
      <c r="M32" s="271"/>
      <c r="N32" s="271"/>
      <c r="O32" s="271"/>
      <c r="P32" s="271"/>
      <c r="Q32" s="271"/>
    </row>
    <row r="33" spans="1:17" s="524" customFormat="1" hidden="1">
      <c r="A33" s="256"/>
      <c r="B33" s="256"/>
      <c r="C33" s="256"/>
      <c r="D33" s="256"/>
      <c r="E33" s="256"/>
      <c r="F33" s="831"/>
      <c r="G33" s="831"/>
      <c r="H33" s="271"/>
      <c r="I33" s="271"/>
      <c r="J33" s="271"/>
      <c r="K33" s="271"/>
      <c r="L33" s="271"/>
      <c r="M33" s="271"/>
      <c r="N33" s="271"/>
      <c r="O33" s="271"/>
      <c r="P33" s="271"/>
      <c r="Q33" s="271"/>
    </row>
    <row r="34" spans="1:17" s="519" customFormat="1">
      <c r="A34" s="256"/>
      <c r="B34" s="256"/>
      <c r="C34" s="256"/>
      <c r="D34" s="256"/>
      <c r="E34" s="256"/>
      <c r="F34" s="333"/>
      <c r="G34" s="831"/>
      <c r="H34" s="256"/>
      <c r="I34" s="271"/>
      <c r="J34" s="256"/>
      <c r="K34" s="271"/>
      <c r="L34" s="256"/>
      <c r="M34" s="271"/>
      <c r="N34" s="256"/>
      <c r="O34" s="271"/>
      <c r="P34" s="256"/>
      <c r="Q34" s="271"/>
    </row>
    <row r="35" spans="1:17" s="315" customFormat="1">
      <c r="A35" s="256"/>
      <c r="B35" s="256"/>
      <c r="C35" s="256"/>
      <c r="D35" s="256"/>
      <c r="E35" s="256"/>
      <c r="F35" s="333"/>
      <c r="G35" s="333"/>
      <c r="H35" s="256"/>
      <c r="I35" s="256"/>
      <c r="J35" s="256"/>
      <c r="K35" s="256"/>
      <c r="L35" s="256"/>
      <c r="M35" s="256"/>
      <c r="N35" s="256"/>
      <c r="O35" s="256"/>
      <c r="P35" s="256"/>
      <c r="Q35" s="256"/>
    </row>
    <row r="39" spans="1:17">
      <c r="L39" s="859">
        <f>F39*0.0256</f>
        <v>0</v>
      </c>
    </row>
    <row r="48" spans="1:17">
      <c r="B48" s="258"/>
      <c r="C48" s="258"/>
    </row>
  </sheetData>
  <mergeCells count="13">
    <mergeCell ref="D28:F28"/>
    <mergeCell ref="A4:O4"/>
    <mergeCell ref="A5:O5"/>
    <mergeCell ref="H8:J8"/>
    <mergeCell ref="A12:Q12"/>
    <mergeCell ref="A13:Q13"/>
    <mergeCell ref="A14:H14"/>
    <mergeCell ref="I14:Q14"/>
    <mergeCell ref="A15:Q15"/>
    <mergeCell ref="F17:G17"/>
    <mergeCell ref="H17:Q17"/>
    <mergeCell ref="A20:Q20"/>
    <mergeCell ref="A21:A2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62"/>
  </sheetPr>
  <dimension ref="A1:IV114"/>
  <sheetViews>
    <sheetView topLeftCell="A27" zoomScaleNormal="100" workbookViewId="0">
      <selection activeCell="F40" sqref="F40"/>
    </sheetView>
  </sheetViews>
  <sheetFormatPr defaultColWidth="8.85546875" defaultRowHeight="12.75"/>
  <cols>
    <col min="1" max="1" width="14.140625" style="73" customWidth="1"/>
    <col min="2" max="2" width="10.5703125" style="73" customWidth="1"/>
    <col min="3" max="3" width="22.5703125" style="73" customWidth="1"/>
    <col min="4" max="4" width="44.42578125" style="73" customWidth="1"/>
    <col min="5" max="5" width="15.7109375" style="73" customWidth="1"/>
    <col min="6" max="6" width="13.85546875" style="333" customWidth="1"/>
    <col min="7" max="7" width="15.7109375" style="73" customWidth="1"/>
    <col min="8" max="8" width="22.85546875" style="73" customWidth="1"/>
    <col min="9" max="10" width="23" style="73" customWidth="1"/>
    <col min="11" max="11" width="22.28515625" style="73" customWidth="1"/>
    <col min="12" max="12" width="25.28515625" style="73" customWidth="1"/>
    <col min="13" max="13" width="23" style="73" customWidth="1"/>
    <col min="14" max="14" width="23.5703125" style="73" customWidth="1"/>
    <col min="15" max="15" width="21" style="73" customWidth="1"/>
    <col min="16" max="16" width="12.42578125" style="73" customWidth="1"/>
    <col min="17" max="16384" width="8.85546875" style="73"/>
  </cols>
  <sheetData>
    <row r="1" spans="1:256" ht="13.5" thickBot="1">
      <c r="C1" s="74"/>
      <c r="D1" s="75"/>
      <c r="E1" s="75"/>
      <c r="F1" s="76"/>
      <c r="G1" s="76"/>
      <c r="H1" s="76"/>
      <c r="I1" s="76"/>
      <c r="J1" s="76"/>
      <c r="K1" s="76"/>
      <c r="L1" s="76"/>
    </row>
    <row r="2" spans="1:256">
      <c r="A2" s="77"/>
      <c r="B2" s="77"/>
      <c r="C2" s="78"/>
      <c r="D2" s="79"/>
      <c r="E2" s="79"/>
      <c r="F2" s="80"/>
      <c r="G2" s="81"/>
      <c r="H2" s="80"/>
      <c r="I2" s="81"/>
      <c r="J2" s="81"/>
      <c r="K2" s="81"/>
      <c r="L2" s="81"/>
      <c r="M2" s="77"/>
      <c r="N2" s="77"/>
      <c r="O2" s="77"/>
    </row>
    <row r="3" spans="1:256">
      <c r="C3" s="74"/>
      <c r="D3" s="75"/>
      <c r="E3" s="75"/>
      <c r="F3" s="76"/>
      <c r="G3" s="82"/>
      <c r="H3" s="76"/>
      <c r="I3" s="82"/>
      <c r="J3" s="82"/>
      <c r="K3" s="82"/>
      <c r="L3" s="82"/>
    </row>
    <row r="4" spans="1:256" ht="30">
      <c r="A4" s="995" t="s">
        <v>177</v>
      </c>
      <c r="B4" s="964"/>
      <c r="C4" s="964"/>
      <c r="D4" s="964"/>
      <c r="E4" s="964"/>
      <c r="F4" s="964"/>
      <c r="G4" s="964"/>
      <c r="H4" s="964"/>
      <c r="I4" s="964"/>
      <c r="J4" s="964"/>
      <c r="K4" s="964"/>
      <c r="L4" s="964"/>
      <c r="M4" s="964"/>
      <c r="N4" s="964"/>
      <c r="O4" s="964"/>
    </row>
    <row r="5" spans="1:256">
      <c r="A5" s="996" t="s">
        <v>178</v>
      </c>
      <c r="B5" s="1081"/>
      <c r="C5" s="1081"/>
      <c r="D5" s="1081"/>
      <c r="E5" s="1081"/>
      <c r="F5" s="1081"/>
      <c r="G5" s="1081"/>
      <c r="H5" s="1081"/>
      <c r="I5" s="1081"/>
      <c r="J5" s="1081"/>
      <c r="K5" s="1081"/>
      <c r="L5" s="1081"/>
      <c r="M5" s="1081"/>
      <c r="N5" s="1081"/>
      <c r="O5" s="1081"/>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row>
    <row r="6" spans="1:256" ht="13.5" thickBot="1">
      <c r="A6" s="107"/>
      <c r="B6" s="107"/>
      <c r="C6" s="107"/>
      <c r="D6" s="107"/>
      <c r="E6" s="107"/>
      <c r="F6" s="107"/>
      <c r="G6" s="107"/>
      <c r="H6" s="107"/>
      <c r="I6" s="107"/>
      <c r="J6" s="107"/>
      <c r="K6" s="107"/>
      <c r="L6" s="107"/>
      <c r="M6" s="107"/>
      <c r="N6" s="107"/>
      <c r="O6" s="107"/>
    </row>
    <row r="8" spans="1:256" ht="14.25">
      <c r="A8" s="82"/>
      <c r="B8" s="82"/>
      <c r="C8" s="89"/>
      <c r="D8" s="90"/>
      <c r="E8" s="90"/>
      <c r="F8" s="90"/>
      <c r="G8" s="90"/>
      <c r="H8" s="90"/>
      <c r="I8" s="90"/>
      <c r="J8" s="90"/>
      <c r="K8" s="90"/>
      <c r="L8" s="90"/>
      <c r="M8" s="90"/>
      <c r="N8" s="90"/>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row>
    <row r="9" spans="1:256" ht="14.25">
      <c r="A9" s="82"/>
      <c r="B9" s="82"/>
      <c r="C9" s="82"/>
      <c r="D9" s="82"/>
      <c r="E9" s="82"/>
      <c r="F9" s="446"/>
      <c r="G9" s="446"/>
      <c r="H9" s="994" t="s">
        <v>0</v>
      </c>
      <c r="I9" s="994"/>
      <c r="J9" s="994"/>
      <c r="K9" s="136"/>
      <c r="L9" s="136"/>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row>
    <row r="10" spans="1:256" ht="14.25">
      <c r="A10" s="82"/>
      <c r="B10" s="82"/>
      <c r="C10" s="82"/>
      <c r="D10" s="82"/>
      <c r="E10" s="82"/>
      <c r="F10" s="82"/>
      <c r="G10" s="82"/>
      <c r="H10" s="91" t="s">
        <v>1</v>
      </c>
      <c r="I10" s="82" t="s">
        <v>179</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82"/>
      <c r="B11" s="82"/>
      <c r="C11" s="82"/>
      <c r="D11" s="82"/>
      <c r="E11" s="82"/>
      <c r="F11" s="82"/>
      <c r="G11" s="93"/>
      <c r="H11" s="92" t="s">
        <v>3</v>
      </c>
      <c r="I11" s="93" t="s">
        <v>180</v>
      </c>
      <c r="J11" s="93"/>
      <c r="K11" s="82"/>
      <c r="L11" s="93"/>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82"/>
      <c r="B12" s="82"/>
      <c r="C12" s="82"/>
      <c r="D12" s="82"/>
      <c r="E12" s="82"/>
      <c r="F12" s="446"/>
      <c r="G12" s="93"/>
      <c r="H12" s="92" t="s">
        <v>7</v>
      </c>
      <c r="I12" s="98">
        <v>100000</v>
      </c>
      <c r="J12" s="93"/>
      <c r="K12" s="82"/>
      <c r="L12" s="93"/>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6">
      <c r="A13" s="82"/>
      <c r="B13" s="82"/>
      <c r="C13" s="82"/>
      <c r="D13" s="82"/>
      <c r="E13" s="82"/>
      <c r="F13" s="446"/>
      <c r="G13" s="82"/>
      <c r="H13" s="92" t="s">
        <v>8</v>
      </c>
      <c r="I13" s="82" t="s">
        <v>181</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row>
    <row r="14" spans="1:256">
      <c r="A14" s="82"/>
      <c r="B14" s="82"/>
      <c r="C14" s="82"/>
      <c r="D14" s="82"/>
      <c r="E14" s="82"/>
      <c r="F14" s="446"/>
      <c r="G14" s="82"/>
      <c r="H14" s="92" t="s">
        <v>10</v>
      </c>
      <c r="I14" s="82" t="s">
        <v>182</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row>
    <row r="15" spans="1:256">
      <c r="A15" s="82"/>
      <c r="B15" s="82"/>
      <c r="C15" s="186"/>
      <c r="D15" s="82"/>
      <c r="E15" s="82"/>
      <c r="F15" s="187"/>
      <c r="G15" s="82"/>
      <c r="H15" s="92" t="s">
        <v>183</v>
      </c>
      <c r="I15" s="82" t="s">
        <v>184</v>
      </c>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row>
    <row r="16" spans="1:256">
      <c r="A16" s="82"/>
      <c r="B16" s="82"/>
      <c r="C16" s="82"/>
      <c r="D16" s="82"/>
      <c r="E16" s="82"/>
      <c r="F16" s="446"/>
      <c r="G16" s="82"/>
      <c r="H16" s="92" t="s">
        <v>185</v>
      </c>
      <c r="I16" s="82" t="s">
        <v>186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row>
    <row r="17" spans="1:256">
      <c r="A17" s="82"/>
      <c r="B17" s="82"/>
      <c r="C17" s="82"/>
      <c r="D17" s="82"/>
      <c r="E17" s="82"/>
      <c r="F17" s="82"/>
      <c r="G17" s="82"/>
      <c r="H17" s="92" t="s">
        <v>14</v>
      </c>
      <c r="I17" s="82" t="s">
        <v>15</v>
      </c>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row>
    <row r="18" spans="1:256">
      <c r="A18" s="82"/>
      <c r="B18" s="82"/>
      <c r="C18" s="82"/>
      <c r="D18" s="82"/>
      <c r="E18" s="82"/>
      <c r="F18" s="446"/>
      <c r="G18" s="82"/>
      <c r="H18" s="82"/>
      <c r="I18" s="82" t="s">
        <v>187</v>
      </c>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A19" s="82"/>
      <c r="B19" s="82"/>
      <c r="C19" s="82"/>
      <c r="D19" s="82"/>
      <c r="E19" s="82"/>
      <c r="F19" s="446"/>
      <c r="G19" s="82"/>
      <c r="H19" s="82"/>
      <c r="I19" s="82" t="s">
        <v>188</v>
      </c>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c r="A20" s="82"/>
      <c r="B20" s="82"/>
      <c r="C20" s="82"/>
      <c r="D20" s="82"/>
      <c r="E20" s="82"/>
      <c r="F20" s="446"/>
      <c r="G20" s="82"/>
      <c r="H20" s="92" t="s">
        <v>16</v>
      </c>
      <c r="I20" s="82" t="s">
        <v>189</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row>
    <row r="21" spans="1:256">
      <c r="A21" s="82"/>
      <c r="B21" s="82"/>
      <c r="C21" s="82"/>
      <c r="D21" s="82"/>
      <c r="E21" s="82"/>
      <c r="F21" s="446"/>
      <c r="G21" s="82"/>
      <c r="H21" s="92" t="s">
        <v>18</v>
      </c>
      <c r="I21" s="82" t="s">
        <v>190</v>
      </c>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row>
    <row r="22" spans="1:256">
      <c r="A22" s="82"/>
      <c r="B22" s="82"/>
      <c r="C22" s="82"/>
      <c r="D22" s="82"/>
      <c r="E22" s="82"/>
      <c r="F22" s="446"/>
      <c r="G22" s="93"/>
      <c r="H22" s="92" t="s">
        <v>20</v>
      </c>
      <c r="I22" s="93" t="s">
        <v>191</v>
      </c>
      <c r="J22" s="93"/>
      <c r="K22" s="82"/>
      <c r="L22" s="93"/>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ht="14.25">
      <c r="A23" s="82"/>
      <c r="B23" s="82"/>
      <c r="C23" s="82"/>
      <c r="D23" s="1082"/>
      <c r="E23" s="105"/>
      <c r="F23" s="104"/>
      <c r="G23" s="82"/>
      <c r="H23" s="92" t="s">
        <v>22</v>
      </c>
      <c r="I23" s="82" t="s">
        <v>192</v>
      </c>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row>
    <row r="24" spans="1:256" ht="14.25">
      <c r="A24" s="82"/>
      <c r="B24" s="82"/>
      <c r="C24" s="82"/>
      <c r="D24" s="1082"/>
      <c r="E24" s="105"/>
      <c r="F24" s="104"/>
      <c r="G24" s="82"/>
      <c r="H24" s="92" t="s">
        <v>24</v>
      </c>
      <c r="I24" s="82" t="s">
        <v>193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row>
    <row r="25" spans="1:256" ht="14.25">
      <c r="A25" s="82"/>
      <c r="B25" s="82"/>
      <c r="C25" s="82"/>
      <c r="D25" s="105"/>
      <c r="E25" s="105"/>
      <c r="F25" s="104"/>
      <c r="G25" s="82"/>
      <c r="H25" s="92" t="s">
        <v>26</v>
      </c>
      <c r="I25" s="82" t="s">
        <v>194</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row>
    <row r="26" spans="1:256" ht="14.25">
      <c r="A26" s="82"/>
      <c r="B26" s="82"/>
      <c r="C26" s="82"/>
      <c r="D26" s="105"/>
      <c r="E26" s="105"/>
      <c r="F26" s="104"/>
      <c r="G26" s="82"/>
      <c r="H26" s="92" t="s">
        <v>28</v>
      </c>
      <c r="I26" s="82" t="s">
        <v>195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row>
    <row r="27" spans="1:256" ht="15" thickBot="1">
      <c r="A27" s="1083" t="s">
        <v>30</v>
      </c>
      <c r="B27" s="969"/>
      <c r="C27" s="969"/>
      <c r="D27" s="969"/>
      <c r="E27" s="969"/>
      <c r="F27" s="969"/>
      <c r="G27" s="969"/>
      <c r="H27" s="969"/>
      <c r="I27" s="969"/>
      <c r="J27" s="969"/>
      <c r="K27" s="969"/>
      <c r="L27" s="969"/>
      <c r="M27" s="969"/>
      <c r="N27" s="969"/>
      <c r="O27" s="969"/>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row>
    <row r="28" spans="1:256" ht="14.25">
      <c r="A28" s="1076" t="s">
        <v>196</v>
      </c>
      <c r="B28" s="1077"/>
      <c r="C28" s="1077"/>
      <c r="D28" s="1078"/>
      <c r="E28" s="1079" t="s">
        <v>197</v>
      </c>
      <c r="F28" s="980"/>
      <c r="G28" s="980"/>
      <c r="H28" s="980"/>
      <c r="I28" s="980"/>
      <c r="J28" s="1080"/>
      <c r="K28" s="1076" t="s">
        <v>198</v>
      </c>
      <c r="L28" s="980"/>
      <c r="M28" s="980"/>
      <c r="N28" s="980"/>
      <c r="O28" s="1080"/>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c r="A29" s="970" t="s">
        <v>33</v>
      </c>
      <c r="B29" s="1061"/>
      <c r="C29" s="1061"/>
      <c r="D29" s="217" t="s">
        <v>34</v>
      </c>
      <c r="E29" s="970" t="s">
        <v>33</v>
      </c>
      <c r="F29" s="964"/>
      <c r="G29" s="964"/>
      <c r="H29" s="964"/>
      <c r="I29" s="1065" t="s">
        <v>35</v>
      </c>
      <c r="J29" s="1066"/>
      <c r="K29" s="970" t="s">
        <v>33</v>
      </c>
      <c r="L29" s="964"/>
      <c r="M29" s="964"/>
      <c r="N29" s="1067" t="s">
        <v>35</v>
      </c>
      <c r="O29" s="1068"/>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c r="A30" s="970" t="s">
        <v>199</v>
      </c>
      <c r="B30" s="1061"/>
      <c r="C30" s="1061"/>
      <c r="D30" s="218">
        <v>0</v>
      </c>
      <c r="E30" s="970" t="s">
        <v>199</v>
      </c>
      <c r="F30" s="964"/>
      <c r="G30" s="964"/>
      <c r="H30" s="964"/>
      <c r="I30" s="1073">
        <v>428</v>
      </c>
      <c r="J30" s="1066"/>
      <c r="K30" s="970" t="s">
        <v>199</v>
      </c>
      <c r="L30" s="964"/>
      <c r="M30" s="964"/>
      <c r="N30" s="1074">
        <v>642</v>
      </c>
      <c r="O30" s="1075"/>
      <c r="P30" s="100"/>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row>
    <row r="31" spans="1:256">
      <c r="A31" s="970" t="s">
        <v>37</v>
      </c>
      <c r="B31" s="1061"/>
      <c r="C31" s="1061"/>
      <c r="D31" s="217" t="s">
        <v>38</v>
      </c>
      <c r="E31" s="970" t="s">
        <v>37</v>
      </c>
      <c r="F31" s="964"/>
      <c r="G31" s="964"/>
      <c r="H31" s="964"/>
      <c r="I31" s="1065" t="s">
        <v>200</v>
      </c>
      <c r="J31" s="1066"/>
      <c r="K31" s="970" t="s">
        <v>37</v>
      </c>
      <c r="L31" s="964"/>
      <c r="M31" s="964"/>
      <c r="N31" s="1067" t="s">
        <v>201</v>
      </c>
      <c r="O31" s="1068"/>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row>
    <row r="32" spans="1:256" ht="13.5" thickBot="1">
      <c r="A32" s="968" t="s">
        <v>202</v>
      </c>
      <c r="B32" s="1062"/>
      <c r="C32" s="1062"/>
      <c r="D32" s="219" t="s">
        <v>203</v>
      </c>
      <c r="E32" s="968" t="s">
        <v>204</v>
      </c>
      <c r="F32" s="969"/>
      <c r="G32" s="969"/>
      <c r="H32" s="969"/>
      <c r="I32" s="1069" t="s">
        <v>205</v>
      </c>
      <c r="J32" s="1070"/>
      <c r="K32" s="968" t="s">
        <v>40</v>
      </c>
      <c r="L32" s="969"/>
      <c r="M32" s="969"/>
      <c r="N32" s="1071" t="s">
        <v>205</v>
      </c>
      <c r="O32" s="107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row>
    <row r="33" spans="1:256" ht="14.25">
      <c r="A33" s="82"/>
      <c r="B33" s="82"/>
      <c r="C33" s="82"/>
      <c r="D33" s="105"/>
      <c r="E33" s="105"/>
      <c r="F33" s="104"/>
      <c r="G33" s="82"/>
      <c r="H33" s="9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row>
    <row r="34" spans="1:256" ht="14.25">
      <c r="A34" s="82"/>
      <c r="B34" s="82"/>
      <c r="C34" s="109"/>
      <c r="D34" s="105"/>
      <c r="E34" s="105"/>
      <c r="F34" s="104"/>
      <c r="G34" s="104"/>
      <c r="H34" s="104"/>
      <c r="I34" s="1059"/>
      <c r="J34" s="1059"/>
      <c r="K34" s="1059"/>
      <c r="L34" s="447"/>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row>
    <row r="35" spans="1:256" ht="14.25">
      <c r="A35" s="1060"/>
      <c r="B35" s="964"/>
      <c r="C35" s="964"/>
      <c r="D35" s="964"/>
      <c r="E35" s="105"/>
      <c r="F35" s="104"/>
      <c r="G35" s="104"/>
      <c r="H35" s="104"/>
      <c r="I35" s="1059"/>
      <c r="J35" s="1059"/>
      <c r="K35" s="1059"/>
      <c r="L35" s="447"/>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row>
    <row r="36" spans="1:256" ht="14.25">
      <c r="A36" s="1061"/>
      <c r="B36" s="964"/>
      <c r="C36" s="964"/>
      <c r="D36" s="82"/>
      <c r="E36" s="105"/>
      <c r="F36" s="104"/>
      <c r="G36" s="104"/>
      <c r="H36" s="104"/>
      <c r="I36" s="1059"/>
      <c r="J36" s="1059"/>
      <c r="K36" s="1059"/>
      <c r="L36" s="447"/>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row>
    <row r="37" spans="1:256" ht="15" thickBot="1">
      <c r="A37" s="1061"/>
      <c r="B37" s="964"/>
      <c r="C37" s="964"/>
      <c r="D37" s="82"/>
      <c r="E37" s="105"/>
      <c r="F37" s="104"/>
      <c r="G37" s="119"/>
      <c r="H37" s="82"/>
      <c r="I37" s="119"/>
      <c r="J37" s="119"/>
      <c r="K37" s="119"/>
      <c r="L37" s="119"/>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row>
    <row r="38" spans="1:256" ht="13.5" thickBot="1">
      <c r="A38" s="1062"/>
      <c r="B38" s="969"/>
      <c r="C38" s="969"/>
      <c r="D38" s="379"/>
      <c r="E38" s="82"/>
      <c r="F38" s="1063" t="s">
        <v>43</v>
      </c>
      <c r="G38" s="1064"/>
      <c r="H38" s="987"/>
      <c r="I38" s="991" t="s">
        <v>44</v>
      </c>
      <c r="J38" s="982"/>
      <c r="K38" s="982"/>
      <c r="L38" s="982"/>
      <c r="M38" s="982"/>
      <c r="N38" s="982"/>
      <c r="O38" s="983"/>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row>
    <row r="39" spans="1:256" ht="42.75" thickBot="1">
      <c r="A39" s="55" t="s">
        <v>45</v>
      </c>
      <c r="B39" s="55" t="s">
        <v>46</v>
      </c>
      <c r="C39" s="380" t="s">
        <v>47</v>
      </c>
      <c r="D39" s="56" t="s">
        <v>48</v>
      </c>
      <c r="E39" s="56" t="s">
        <v>49</v>
      </c>
      <c r="F39" s="56" t="s">
        <v>50</v>
      </c>
      <c r="G39" s="55" t="s">
        <v>51</v>
      </c>
      <c r="H39" s="56" t="s">
        <v>52</v>
      </c>
      <c r="I39" s="55" t="s">
        <v>51</v>
      </c>
      <c r="J39" s="56" t="s">
        <v>53</v>
      </c>
      <c r="K39" s="55" t="s">
        <v>51</v>
      </c>
      <c r="L39" s="56" t="s">
        <v>54</v>
      </c>
      <c r="M39" s="55" t="s">
        <v>51</v>
      </c>
      <c r="N39" s="56" t="s">
        <v>55</v>
      </c>
      <c r="O39" s="55" t="s">
        <v>51</v>
      </c>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row>
    <row r="40" spans="1:256" ht="13.5" thickBot="1">
      <c r="A40" s="1055">
        <v>10</v>
      </c>
      <c r="B40" s="1055"/>
      <c r="C40" s="381" t="s">
        <v>206</v>
      </c>
      <c r="D40" s="60" t="s">
        <v>207</v>
      </c>
      <c r="E40" s="61">
        <v>6985.65</v>
      </c>
      <c r="F40" s="30">
        <f>SUM(E40,E41,E42,E43)*(1-65%)</f>
        <v>2937.4274999999998</v>
      </c>
      <c r="G40" s="1011">
        <f>F40*B40</f>
        <v>0</v>
      </c>
      <c r="H40" s="30">
        <f>F40*0.0845</f>
        <v>248.21262375000001</v>
      </c>
      <c r="I40" s="1011">
        <f>H40*B40</f>
        <v>0</v>
      </c>
      <c r="J40" s="30">
        <f>F40*0.032</f>
        <v>93.997679999999988</v>
      </c>
      <c r="K40" s="1011">
        <f>J40*B40</f>
        <v>0</v>
      </c>
      <c r="L40" s="30">
        <f>F40*0.0263</f>
        <v>77.254343249999991</v>
      </c>
      <c r="M40" s="1011">
        <f>L40*B40</f>
        <v>0</v>
      </c>
      <c r="N40" s="30">
        <f>F40*0.0219</f>
        <v>64.329662249999998</v>
      </c>
      <c r="O40" s="1011">
        <f>N40*B40</f>
        <v>0</v>
      </c>
      <c r="P40" s="123"/>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row>
    <row r="41" spans="1:256" ht="13.5" thickBot="1">
      <c r="A41" s="1056"/>
      <c r="B41" s="1056"/>
      <c r="C41" s="382" t="s">
        <v>208</v>
      </c>
      <c r="D41" s="366" t="s">
        <v>209</v>
      </c>
      <c r="E41" s="65">
        <v>1077</v>
      </c>
      <c r="F41" s="31" t="s">
        <v>35</v>
      </c>
      <c r="G41" s="1051"/>
      <c r="H41" s="32" t="s">
        <v>35</v>
      </c>
      <c r="I41" s="1051"/>
      <c r="J41" s="32" t="s">
        <v>35</v>
      </c>
      <c r="K41" s="1051"/>
      <c r="L41" s="32" t="s">
        <v>35</v>
      </c>
      <c r="M41" s="1051"/>
      <c r="N41" s="32" t="s">
        <v>35</v>
      </c>
      <c r="O41" s="1051"/>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row>
    <row r="42" spans="1:256" ht="13.5" thickBot="1">
      <c r="A42" s="1056"/>
      <c r="B42" s="1056"/>
      <c r="C42" s="354">
        <v>135310</v>
      </c>
      <c r="D42" s="366" t="s">
        <v>210</v>
      </c>
      <c r="E42" s="65">
        <v>255</v>
      </c>
      <c r="F42" s="300" t="s">
        <v>35</v>
      </c>
      <c r="G42" s="1051"/>
      <c r="H42" s="32" t="s">
        <v>35</v>
      </c>
      <c r="I42" s="1051"/>
      <c r="J42" s="32" t="s">
        <v>35</v>
      </c>
      <c r="K42" s="1051"/>
      <c r="L42" s="32" t="s">
        <v>35</v>
      </c>
      <c r="M42" s="1051"/>
      <c r="N42" s="32" t="s">
        <v>35</v>
      </c>
      <c r="O42" s="1051"/>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row>
    <row r="43" spans="1:256" ht="13.5" thickBot="1">
      <c r="A43" s="1056"/>
      <c r="B43" s="1056"/>
      <c r="C43" s="354" t="s">
        <v>56</v>
      </c>
      <c r="D43" s="355" t="s">
        <v>57</v>
      </c>
      <c r="E43" s="65">
        <v>75</v>
      </c>
      <c r="F43" s="300" t="s">
        <v>35</v>
      </c>
      <c r="G43" s="1058"/>
      <c r="H43" s="301" t="s">
        <v>35</v>
      </c>
      <c r="I43" s="1058"/>
      <c r="J43" s="301" t="s">
        <v>35</v>
      </c>
      <c r="K43" s="1058"/>
      <c r="L43" s="301" t="s">
        <v>35</v>
      </c>
      <c r="M43" s="1058"/>
      <c r="N43" s="301" t="s">
        <v>35</v>
      </c>
      <c r="O43" s="1058"/>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row>
    <row r="44" spans="1:256" ht="13.5" thickBot="1">
      <c r="A44" s="66"/>
      <c r="B44" s="67"/>
      <c r="C44" s="68"/>
      <c r="D44" s="69"/>
      <c r="E44" s="70"/>
      <c r="F44" s="33"/>
      <c r="G44" s="22"/>
      <c r="H44" s="36"/>
      <c r="I44" s="22"/>
      <c r="J44" s="36"/>
      <c r="K44" s="23"/>
      <c r="L44" s="36"/>
      <c r="M44" s="22"/>
      <c r="N44" s="36"/>
      <c r="O44" s="23"/>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row>
    <row r="45" spans="1:256" ht="13.5" thickBot="1">
      <c r="A45" s="1055" t="s">
        <v>211</v>
      </c>
      <c r="B45" s="1055"/>
      <c r="C45" s="381" t="s">
        <v>206</v>
      </c>
      <c r="D45" s="60" t="s">
        <v>207</v>
      </c>
      <c r="E45" s="61">
        <v>6985.65</v>
      </c>
      <c r="F45" s="30">
        <f>SUM(E45,E46,E47,E48)*(1-65%)</f>
        <v>2937.4274999999998</v>
      </c>
      <c r="G45" s="1011">
        <f>F45*B45</f>
        <v>0</v>
      </c>
      <c r="H45" s="30">
        <f>F45*0.0845+I30/12</f>
        <v>283.87929041666666</v>
      </c>
      <c r="I45" s="1011">
        <f>H45*B45</f>
        <v>0</v>
      </c>
      <c r="J45" s="30">
        <f>F45*0.032+I30/12</f>
        <v>129.66434666666666</v>
      </c>
      <c r="K45" s="1011">
        <f>J45*B45</f>
        <v>0</v>
      </c>
      <c r="L45" s="30">
        <f>F45*0.0263+I30/12</f>
        <v>112.92100991666666</v>
      </c>
      <c r="M45" s="1011">
        <f>L45*B45</f>
        <v>0</v>
      </c>
      <c r="N45" s="30">
        <f>F45*0.0219+I30/12</f>
        <v>99.99632891666667</v>
      </c>
      <c r="O45" s="1011">
        <f>N45*B45</f>
        <v>0</v>
      </c>
      <c r="P45" s="123"/>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row>
    <row r="46" spans="1:256" ht="13.5" thickBot="1">
      <c r="A46" s="1056"/>
      <c r="B46" s="1056"/>
      <c r="C46" s="382" t="s">
        <v>208</v>
      </c>
      <c r="D46" s="366" t="s">
        <v>209</v>
      </c>
      <c r="E46" s="65">
        <v>1077</v>
      </c>
      <c r="F46" s="300" t="s">
        <v>35</v>
      </c>
      <c r="G46" s="1051"/>
      <c r="H46" s="301" t="s">
        <v>35</v>
      </c>
      <c r="I46" s="1051"/>
      <c r="J46" s="301" t="s">
        <v>35</v>
      </c>
      <c r="K46" s="1051"/>
      <c r="L46" s="301" t="s">
        <v>35</v>
      </c>
      <c r="M46" s="1051"/>
      <c r="N46" s="301" t="s">
        <v>35</v>
      </c>
      <c r="O46" s="1051"/>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row>
    <row r="47" spans="1:256" ht="13.5" thickBot="1">
      <c r="A47" s="1056"/>
      <c r="B47" s="1056"/>
      <c r="C47" s="354">
        <v>135310</v>
      </c>
      <c r="D47" s="366" t="s">
        <v>210</v>
      </c>
      <c r="E47" s="65">
        <v>255</v>
      </c>
      <c r="F47" s="31" t="s">
        <v>35</v>
      </c>
      <c r="G47" s="1051"/>
      <c r="H47" s="32" t="s">
        <v>35</v>
      </c>
      <c r="I47" s="1051"/>
      <c r="J47" s="32" t="s">
        <v>35</v>
      </c>
      <c r="K47" s="1051"/>
      <c r="L47" s="32" t="s">
        <v>35</v>
      </c>
      <c r="M47" s="1051"/>
      <c r="N47" s="32" t="s">
        <v>35</v>
      </c>
      <c r="O47" s="1051"/>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row>
    <row r="48" spans="1:256" ht="13.5" thickBot="1">
      <c r="A48" s="1056"/>
      <c r="B48" s="1056"/>
      <c r="C48" s="354" t="s">
        <v>56</v>
      </c>
      <c r="D48" s="355" t="s">
        <v>57</v>
      </c>
      <c r="E48" s="65">
        <v>75</v>
      </c>
      <c r="F48" s="31" t="s">
        <v>35</v>
      </c>
      <c r="G48" s="1058"/>
      <c r="H48" s="32" t="s">
        <v>35</v>
      </c>
      <c r="I48" s="1058"/>
      <c r="J48" s="32" t="s">
        <v>35</v>
      </c>
      <c r="K48" s="1058"/>
      <c r="L48" s="32" t="s">
        <v>35</v>
      </c>
      <c r="M48" s="1058"/>
      <c r="N48" s="32" t="s">
        <v>35</v>
      </c>
      <c r="O48" s="1058"/>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row>
    <row r="49" spans="1:256" ht="13.5" thickBot="1">
      <c r="A49" s="66"/>
      <c r="B49" s="67"/>
      <c r="C49" s="68"/>
      <c r="D49" s="69"/>
      <c r="E49" s="70"/>
      <c r="F49" s="33"/>
      <c r="G49" s="22"/>
      <c r="H49" s="36"/>
      <c r="I49" s="22"/>
      <c r="J49" s="36"/>
      <c r="K49" s="23"/>
      <c r="L49" s="36"/>
      <c r="M49" s="22"/>
      <c r="N49" s="36"/>
      <c r="O49" s="23"/>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row>
    <row r="50" spans="1:256" ht="13.5" thickBot="1">
      <c r="A50" s="1055" t="s">
        <v>212</v>
      </c>
      <c r="B50" s="1055"/>
      <c r="C50" s="381" t="s">
        <v>206</v>
      </c>
      <c r="D50" s="60" t="s">
        <v>207</v>
      </c>
      <c r="E50" s="61">
        <v>6985.65</v>
      </c>
      <c r="F50" s="30">
        <f>SUM(E50,E51,E52,E53)*(1-65%)</f>
        <v>2937.4274999999998</v>
      </c>
      <c r="G50" s="1011">
        <f>F50*B50</f>
        <v>0</v>
      </c>
      <c r="H50" s="30">
        <f>F50*0.0845+N30/12</f>
        <v>301.71262375000003</v>
      </c>
      <c r="I50" s="1011">
        <f>H50*B50</f>
        <v>0</v>
      </c>
      <c r="J50" s="30">
        <f>F50*0.032+N30/12</f>
        <v>147.49768</v>
      </c>
      <c r="K50" s="1011">
        <f>J50*B50</f>
        <v>0</v>
      </c>
      <c r="L50" s="30">
        <f>F50*0.0263+N30/12</f>
        <v>130.75434324999998</v>
      </c>
      <c r="M50" s="1011">
        <f>L50*B50</f>
        <v>0</v>
      </c>
      <c r="N50" s="30">
        <f>F50*0.0219+N30/12</f>
        <v>117.82966225</v>
      </c>
      <c r="O50" s="1011">
        <f>N50*B50</f>
        <v>0</v>
      </c>
      <c r="P50" s="123"/>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row>
    <row r="51" spans="1:256" ht="13.5" thickBot="1">
      <c r="A51" s="1056"/>
      <c r="B51" s="1056"/>
      <c r="C51" s="382" t="s">
        <v>208</v>
      </c>
      <c r="D51" s="366" t="s">
        <v>209</v>
      </c>
      <c r="E51" s="65">
        <v>1077</v>
      </c>
      <c r="F51" s="31" t="s">
        <v>35</v>
      </c>
      <c r="G51" s="1051"/>
      <c r="H51" s="32" t="s">
        <v>35</v>
      </c>
      <c r="I51" s="1051"/>
      <c r="J51" s="32" t="s">
        <v>35</v>
      </c>
      <c r="K51" s="1051"/>
      <c r="L51" s="32" t="s">
        <v>35</v>
      </c>
      <c r="M51" s="1051"/>
      <c r="N51" s="32" t="s">
        <v>35</v>
      </c>
      <c r="O51" s="1051"/>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row>
    <row r="52" spans="1:256" ht="13.5" thickBot="1">
      <c r="A52" s="1056"/>
      <c r="B52" s="1056"/>
      <c r="C52" s="354">
        <v>135310</v>
      </c>
      <c r="D52" s="366" t="s">
        <v>210</v>
      </c>
      <c r="E52" s="65">
        <v>255</v>
      </c>
      <c r="F52" s="31" t="s">
        <v>35</v>
      </c>
      <c r="G52" s="1051"/>
      <c r="H52" s="32" t="s">
        <v>35</v>
      </c>
      <c r="I52" s="1051"/>
      <c r="J52" s="32" t="s">
        <v>35</v>
      </c>
      <c r="K52" s="1051"/>
      <c r="L52" s="32" t="s">
        <v>35</v>
      </c>
      <c r="M52" s="1051"/>
      <c r="N52" s="32" t="s">
        <v>35</v>
      </c>
      <c r="O52" s="1051"/>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row>
    <row r="53" spans="1:256" ht="13.5" thickBot="1">
      <c r="A53" s="1057"/>
      <c r="B53" s="1057"/>
      <c r="C53" s="354" t="s">
        <v>56</v>
      </c>
      <c r="D53" s="355" t="s">
        <v>57</v>
      </c>
      <c r="E53" s="65">
        <v>75</v>
      </c>
      <c r="F53" s="300" t="s">
        <v>35</v>
      </c>
      <c r="G53" s="1051"/>
      <c r="H53" s="448" t="s">
        <v>35</v>
      </c>
      <c r="I53" s="1051"/>
      <c r="J53" s="448" t="s">
        <v>35</v>
      </c>
      <c r="K53" s="1051"/>
      <c r="L53" s="448" t="s">
        <v>35</v>
      </c>
      <c r="M53" s="1051"/>
      <c r="N53" s="448" t="s">
        <v>35</v>
      </c>
      <c r="O53" s="1051"/>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row>
    <row r="54" spans="1:256" ht="13.5" thickBot="1">
      <c r="A54" s="981" t="s">
        <v>59</v>
      </c>
      <c r="B54" s="982"/>
      <c r="C54" s="982"/>
      <c r="D54" s="982"/>
      <c r="E54" s="982"/>
      <c r="F54" s="982"/>
      <c r="G54" s="982"/>
      <c r="H54" s="982"/>
      <c r="I54" s="982"/>
      <c r="J54" s="982"/>
      <c r="K54" s="982"/>
      <c r="L54" s="982"/>
      <c r="M54" s="982"/>
      <c r="N54" s="982"/>
      <c r="O54" s="983"/>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row>
    <row r="55" spans="1:256" ht="13.5" thickBot="1">
      <c r="A55" s="1052"/>
      <c r="B55" s="252"/>
      <c r="C55" s="63" t="s">
        <v>103</v>
      </c>
      <c r="D55" s="176" t="s">
        <v>104</v>
      </c>
      <c r="E55" s="389">
        <v>129.99</v>
      </c>
      <c r="F55" s="14">
        <f t="shared" ref="F55:F92" si="0">E55*(1-40%)</f>
        <v>77.994</v>
      </c>
      <c r="G55" s="397">
        <f t="shared" ref="G55:G92" si="1">F55*B55</f>
        <v>0</v>
      </c>
      <c r="H55" s="397">
        <f t="shared" ref="H55:H92" si="2">F55*0.0845</f>
        <v>6.5904930000000004</v>
      </c>
      <c r="I55" s="397">
        <f t="shared" ref="I55:I92" si="3">H55*B55</f>
        <v>0</v>
      </c>
      <c r="J55" s="397">
        <f t="shared" ref="J55:J92" si="4">F55*0.032</f>
        <v>2.4958080000000002</v>
      </c>
      <c r="K55" s="397">
        <f t="shared" ref="K55:K92" si="5">J55*B55</f>
        <v>0</v>
      </c>
      <c r="L55" s="397">
        <f t="shared" ref="L55:L92" si="6">F55*0.0263</f>
        <v>2.0512421999999999</v>
      </c>
      <c r="M55" s="397">
        <f t="shared" ref="M55:M92" si="7">L55*B55</f>
        <v>0</v>
      </c>
      <c r="N55" s="397">
        <f t="shared" ref="N55:N92" si="8">F55*0.0219</f>
        <v>1.7080686</v>
      </c>
      <c r="O55" s="397">
        <f t="shared" ref="O55:O92" si="9">N55*B55</f>
        <v>0</v>
      </c>
      <c r="P55" s="525"/>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c r="HS55" s="120"/>
      <c r="HT55" s="120"/>
      <c r="HU55" s="120"/>
      <c r="HV55" s="120"/>
      <c r="HW55" s="120"/>
      <c r="HX55" s="120"/>
      <c r="HY55" s="120"/>
      <c r="HZ55" s="120"/>
      <c r="IA55" s="120"/>
      <c r="IB55" s="120"/>
      <c r="IC55" s="120"/>
      <c r="ID55" s="120"/>
      <c r="IE55" s="120"/>
      <c r="IF55" s="120"/>
      <c r="IG55" s="120"/>
      <c r="IH55" s="120"/>
      <c r="II55" s="120"/>
      <c r="IJ55" s="120"/>
      <c r="IK55" s="120"/>
      <c r="IL55" s="120"/>
      <c r="IM55" s="120"/>
      <c r="IN55" s="120"/>
      <c r="IO55" s="120"/>
      <c r="IP55" s="120"/>
      <c r="IQ55" s="120"/>
      <c r="IR55" s="120"/>
      <c r="IS55" s="120"/>
      <c r="IT55" s="120"/>
      <c r="IU55" s="120"/>
      <c r="IV55" s="120"/>
    </row>
    <row r="56" spans="1:256" ht="13.5" thickBot="1">
      <c r="A56" s="1053"/>
      <c r="B56" s="252"/>
      <c r="C56" s="63" t="s">
        <v>105</v>
      </c>
      <c r="D56" s="176" t="s">
        <v>325</v>
      </c>
      <c r="E56" s="389">
        <v>399</v>
      </c>
      <c r="F56" s="14">
        <f t="shared" si="0"/>
        <v>239.39999999999998</v>
      </c>
      <c r="G56" s="396">
        <f t="shared" si="1"/>
        <v>0</v>
      </c>
      <c r="H56" s="397">
        <f t="shared" si="2"/>
        <v>20.229299999999999</v>
      </c>
      <c r="I56" s="397">
        <f t="shared" si="3"/>
        <v>0</v>
      </c>
      <c r="J56" s="397">
        <f t="shared" si="4"/>
        <v>7.6607999999999992</v>
      </c>
      <c r="K56" s="397">
        <f t="shared" si="5"/>
        <v>0</v>
      </c>
      <c r="L56" s="397">
        <f t="shared" si="6"/>
        <v>6.2962199999999999</v>
      </c>
      <c r="M56" s="397">
        <f t="shared" si="7"/>
        <v>0</v>
      </c>
      <c r="N56" s="397">
        <f t="shared" si="8"/>
        <v>5.2428599999999994</v>
      </c>
      <c r="O56" s="397">
        <f t="shared" si="9"/>
        <v>0</v>
      </c>
      <c r="P56" s="525"/>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20"/>
      <c r="IN56" s="120"/>
      <c r="IO56" s="120"/>
      <c r="IP56" s="120"/>
      <c r="IQ56" s="120"/>
      <c r="IR56" s="120"/>
      <c r="IS56" s="120"/>
      <c r="IT56" s="120"/>
      <c r="IU56" s="120"/>
      <c r="IV56" s="120"/>
    </row>
    <row r="57" spans="1:256" ht="13.5" thickBot="1">
      <c r="A57" s="1053"/>
      <c r="B57" s="252"/>
      <c r="C57" s="63" t="s">
        <v>107</v>
      </c>
      <c r="D57" s="176" t="s">
        <v>108</v>
      </c>
      <c r="E57" s="389">
        <v>250</v>
      </c>
      <c r="F57" s="14">
        <f t="shared" si="0"/>
        <v>150</v>
      </c>
      <c r="G57" s="396">
        <f t="shared" si="1"/>
        <v>0</v>
      </c>
      <c r="H57" s="397">
        <f t="shared" si="2"/>
        <v>12.675000000000001</v>
      </c>
      <c r="I57" s="397">
        <f t="shared" si="3"/>
        <v>0</v>
      </c>
      <c r="J57" s="397">
        <f t="shared" si="4"/>
        <v>4.8</v>
      </c>
      <c r="K57" s="397">
        <f t="shared" si="5"/>
        <v>0</v>
      </c>
      <c r="L57" s="397">
        <f t="shared" si="6"/>
        <v>3.9450000000000003</v>
      </c>
      <c r="M57" s="397">
        <f t="shared" si="7"/>
        <v>0</v>
      </c>
      <c r="N57" s="397">
        <f t="shared" si="8"/>
        <v>3.2849999999999997</v>
      </c>
      <c r="O57" s="397">
        <f t="shared" si="9"/>
        <v>0</v>
      </c>
      <c r="P57" s="525"/>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row>
    <row r="58" spans="1:256" ht="13.5" thickBot="1">
      <c r="A58" s="1053"/>
      <c r="B58" s="252"/>
      <c r="C58" s="63" t="s">
        <v>109</v>
      </c>
      <c r="D58" s="176" t="s">
        <v>110</v>
      </c>
      <c r="E58" s="389">
        <v>400</v>
      </c>
      <c r="F58" s="14">
        <f t="shared" si="0"/>
        <v>240</v>
      </c>
      <c r="G58" s="396">
        <f t="shared" si="1"/>
        <v>0</v>
      </c>
      <c r="H58" s="397">
        <f t="shared" si="2"/>
        <v>20.28</v>
      </c>
      <c r="I58" s="397">
        <f t="shared" si="3"/>
        <v>0</v>
      </c>
      <c r="J58" s="397">
        <f t="shared" si="4"/>
        <v>7.68</v>
      </c>
      <c r="K58" s="397">
        <f t="shared" si="5"/>
        <v>0</v>
      </c>
      <c r="L58" s="397">
        <f t="shared" si="6"/>
        <v>6.3120000000000003</v>
      </c>
      <c r="M58" s="397">
        <f t="shared" si="7"/>
        <v>0</v>
      </c>
      <c r="N58" s="397">
        <f t="shared" si="8"/>
        <v>5.2560000000000002</v>
      </c>
      <c r="O58" s="397">
        <f t="shared" si="9"/>
        <v>0</v>
      </c>
      <c r="P58" s="525"/>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c r="HS58" s="120"/>
      <c r="HT58" s="120"/>
      <c r="HU58" s="120"/>
      <c r="HV58" s="120"/>
      <c r="HW58" s="120"/>
      <c r="HX58" s="120"/>
      <c r="HY58" s="120"/>
      <c r="HZ58" s="120"/>
      <c r="IA58" s="120"/>
      <c r="IB58" s="120"/>
      <c r="IC58" s="120"/>
      <c r="ID58" s="120"/>
      <c r="IE58" s="120"/>
      <c r="IF58" s="120"/>
      <c r="IG58" s="120"/>
      <c r="IH58" s="120"/>
      <c r="II58" s="120"/>
      <c r="IJ58" s="120"/>
      <c r="IK58" s="120"/>
      <c r="IL58" s="120"/>
      <c r="IM58" s="120"/>
      <c r="IN58" s="120"/>
      <c r="IO58" s="120"/>
      <c r="IP58" s="120"/>
      <c r="IQ58" s="120"/>
      <c r="IR58" s="120"/>
      <c r="IS58" s="120"/>
      <c r="IT58" s="120"/>
      <c r="IU58" s="120"/>
      <c r="IV58" s="120"/>
    </row>
    <row r="59" spans="1:256" ht="13.5" thickBot="1">
      <c r="A59" s="1053"/>
      <c r="B59" s="252"/>
      <c r="C59" s="63" t="s">
        <v>111</v>
      </c>
      <c r="D59" s="176" t="s">
        <v>112</v>
      </c>
      <c r="E59" s="389">
        <v>499</v>
      </c>
      <c r="F59" s="14">
        <f t="shared" si="0"/>
        <v>299.39999999999998</v>
      </c>
      <c r="G59" s="396">
        <f t="shared" si="1"/>
        <v>0</v>
      </c>
      <c r="H59" s="397">
        <f t="shared" si="2"/>
        <v>25.299299999999999</v>
      </c>
      <c r="I59" s="397">
        <f t="shared" si="3"/>
        <v>0</v>
      </c>
      <c r="J59" s="397">
        <f t="shared" si="4"/>
        <v>9.5808</v>
      </c>
      <c r="K59" s="397">
        <f t="shared" si="5"/>
        <v>0</v>
      </c>
      <c r="L59" s="397">
        <f t="shared" si="6"/>
        <v>7.8742199999999993</v>
      </c>
      <c r="M59" s="397">
        <f t="shared" si="7"/>
        <v>0</v>
      </c>
      <c r="N59" s="397">
        <f t="shared" si="8"/>
        <v>6.5568599999999995</v>
      </c>
      <c r="O59" s="397">
        <f t="shared" si="9"/>
        <v>0</v>
      </c>
      <c r="P59" s="525"/>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20"/>
      <c r="IN59" s="120"/>
      <c r="IO59" s="120"/>
      <c r="IP59" s="120"/>
      <c r="IQ59" s="120"/>
      <c r="IR59" s="120"/>
      <c r="IS59" s="120"/>
      <c r="IT59" s="120"/>
      <c r="IU59" s="120"/>
      <c r="IV59" s="120"/>
    </row>
    <row r="60" spans="1:256" ht="26.25" thickBot="1">
      <c r="A60" s="1053"/>
      <c r="B60" s="252"/>
      <c r="C60" s="63" t="s">
        <v>539</v>
      </c>
      <c r="D60" s="176" t="s">
        <v>3881</v>
      </c>
      <c r="E60" s="389">
        <v>300</v>
      </c>
      <c r="F60" s="14">
        <f t="shared" si="0"/>
        <v>180</v>
      </c>
      <c r="G60" s="396">
        <f t="shared" si="1"/>
        <v>0</v>
      </c>
      <c r="H60" s="397">
        <f t="shared" si="2"/>
        <v>15.21</v>
      </c>
      <c r="I60" s="397">
        <f t="shared" si="3"/>
        <v>0</v>
      </c>
      <c r="J60" s="397">
        <f t="shared" si="4"/>
        <v>5.76</v>
      </c>
      <c r="K60" s="397">
        <f t="shared" si="5"/>
        <v>0</v>
      </c>
      <c r="L60" s="397">
        <f t="shared" si="6"/>
        <v>4.734</v>
      </c>
      <c r="M60" s="397">
        <f t="shared" si="7"/>
        <v>0</v>
      </c>
      <c r="N60" s="397">
        <f t="shared" si="8"/>
        <v>3.9419999999999997</v>
      </c>
      <c r="O60" s="397">
        <f t="shared" si="9"/>
        <v>0</v>
      </c>
      <c r="P60" s="525"/>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row>
    <row r="61" spans="1:256" ht="13.5" thickBot="1">
      <c r="A61" s="1053"/>
      <c r="B61" s="252"/>
      <c r="C61" s="63" t="s">
        <v>77</v>
      </c>
      <c r="D61" s="176" t="s">
        <v>169</v>
      </c>
      <c r="E61" s="389">
        <v>329</v>
      </c>
      <c r="F61" s="14">
        <f t="shared" si="0"/>
        <v>197.4</v>
      </c>
      <c r="G61" s="396">
        <f t="shared" si="1"/>
        <v>0</v>
      </c>
      <c r="H61" s="397">
        <f t="shared" si="2"/>
        <v>16.680300000000003</v>
      </c>
      <c r="I61" s="397">
        <f t="shared" si="3"/>
        <v>0</v>
      </c>
      <c r="J61" s="397">
        <f t="shared" si="4"/>
        <v>6.3168000000000006</v>
      </c>
      <c r="K61" s="397">
        <f t="shared" si="5"/>
        <v>0</v>
      </c>
      <c r="L61" s="397">
        <f t="shared" si="6"/>
        <v>5.1916200000000003</v>
      </c>
      <c r="M61" s="397">
        <f t="shared" si="7"/>
        <v>0</v>
      </c>
      <c r="N61" s="397">
        <f t="shared" si="8"/>
        <v>4.3230599999999999</v>
      </c>
      <c r="O61" s="397">
        <f t="shared" si="9"/>
        <v>0</v>
      </c>
      <c r="P61" s="525"/>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row>
    <row r="62" spans="1:256" ht="13.5" thickBot="1">
      <c r="A62" s="1053"/>
      <c r="B62" s="252"/>
      <c r="C62" s="63" t="s">
        <v>241</v>
      </c>
      <c r="D62" s="176" t="s">
        <v>3853</v>
      </c>
      <c r="E62" s="389">
        <v>235.4</v>
      </c>
      <c r="F62" s="14">
        <f>E62*(1-40%)</f>
        <v>141.24</v>
      </c>
      <c r="G62" s="396">
        <f>F62*B62</f>
        <v>0</v>
      </c>
      <c r="H62" s="397">
        <f>F62*0.0845</f>
        <v>11.934780000000002</v>
      </c>
      <c r="I62" s="397">
        <f>H62*B62</f>
        <v>0</v>
      </c>
      <c r="J62" s="397">
        <f>F62*0.032</f>
        <v>4.5196800000000001</v>
      </c>
      <c r="K62" s="397">
        <f>J62*B62</f>
        <v>0</v>
      </c>
      <c r="L62" s="397">
        <f>F62*0.0263</f>
        <v>3.7146120000000002</v>
      </c>
      <c r="M62" s="397">
        <f>L62*B62</f>
        <v>0</v>
      </c>
      <c r="N62" s="397">
        <f>F62*0.0219</f>
        <v>3.093156</v>
      </c>
      <c r="O62" s="397">
        <f>N62*B62</f>
        <v>0</v>
      </c>
      <c r="P62" s="525"/>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20"/>
      <c r="IN62" s="120"/>
      <c r="IO62" s="120"/>
      <c r="IP62" s="120"/>
      <c r="IQ62" s="120"/>
      <c r="IR62" s="120"/>
      <c r="IS62" s="120"/>
      <c r="IT62" s="120"/>
      <c r="IU62" s="120"/>
      <c r="IV62" s="120"/>
    </row>
    <row r="63" spans="1:256" ht="13.5" thickBot="1">
      <c r="A63" s="1053"/>
      <c r="B63" s="252"/>
      <c r="C63" s="63" t="s">
        <v>242</v>
      </c>
      <c r="D63" s="176" t="s">
        <v>3854</v>
      </c>
      <c r="E63" s="389">
        <v>328.49</v>
      </c>
      <c r="F63" s="25">
        <f>E63*(1-40%)</f>
        <v>197.09399999999999</v>
      </c>
      <c r="G63" s="396">
        <f>F63*B63</f>
        <v>0</v>
      </c>
      <c r="H63" s="397">
        <f>F63*0.0845</f>
        <v>16.654443000000001</v>
      </c>
      <c r="I63" s="397">
        <f>H63*B63</f>
        <v>0</v>
      </c>
      <c r="J63" s="397">
        <f>F63*0.032</f>
        <v>6.3070079999999997</v>
      </c>
      <c r="K63" s="397">
        <f>J63*B63</f>
        <v>0</v>
      </c>
      <c r="L63" s="397">
        <f>F63*0.0263</f>
        <v>5.1835721999999995</v>
      </c>
      <c r="M63" s="397">
        <f>L63*B63</f>
        <v>0</v>
      </c>
      <c r="N63" s="397">
        <f>F63*0.0219</f>
        <v>4.3163586</v>
      </c>
      <c r="O63" s="397">
        <f>N63*B63</f>
        <v>0</v>
      </c>
      <c r="P63" s="525"/>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c r="HS63" s="120"/>
      <c r="HT63" s="120"/>
      <c r="HU63" s="120"/>
      <c r="HV63" s="120"/>
      <c r="HW63" s="120"/>
      <c r="HX63" s="120"/>
      <c r="HY63" s="120"/>
      <c r="HZ63" s="120"/>
      <c r="IA63" s="120"/>
      <c r="IB63" s="120"/>
      <c r="IC63" s="120"/>
      <c r="ID63" s="120"/>
      <c r="IE63" s="120"/>
      <c r="IF63" s="120"/>
      <c r="IG63" s="120"/>
      <c r="IH63" s="120"/>
      <c r="II63" s="120"/>
      <c r="IJ63" s="120"/>
      <c r="IK63" s="120"/>
      <c r="IL63" s="120"/>
      <c r="IM63" s="120"/>
      <c r="IN63" s="120"/>
      <c r="IO63" s="120"/>
      <c r="IP63" s="120"/>
      <c r="IQ63" s="120"/>
      <c r="IR63" s="120"/>
      <c r="IS63" s="120"/>
      <c r="IT63" s="120"/>
      <c r="IU63" s="120"/>
      <c r="IV63" s="120"/>
    </row>
    <row r="64" spans="1:256" ht="13.5" thickBot="1">
      <c r="A64" s="1053"/>
      <c r="B64" s="252"/>
      <c r="C64" s="63" t="s">
        <v>119</v>
      </c>
      <c r="D64" s="176" t="s">
        <v>120</v>
      </c>
      <c r="E64" s="389">
        <v>222.6</v>
      </c>
      <c r="F64" s="14">
        <f>E64*(1-40%)</f>
        <v>133.56</v>
      </c>
      <c r="G64" s="396">
        <f>F64*B64</f>
        <v>0</v>
      </c>
      <c r="H64" s="397">
        <f>F64*0.0845</f>
        <v>11.285820000000001</v>
      </c>
      <c r="I64" s="397">
        <f>H64*B64</f>
        <v>0</v>
      </c>
      <c r="J64" s="397">
        <f>F64*0.032</f>
        <v>4.2739200000000004</v>
      </c>
      <c r="K64" s="397">
        <f>J64*B64</f>
        <v>0</v>
      </c>
      <c r="L64" s="397">
        <f>F64*0.0263</f>
        <v>3.5126280000000003</v>
      </c>
      <c r="M64" s="397">
        <f>L64*B64</f>
        <v>0</v>
      </c>
      <c r="N64" s="397">
        <f>F64*0.0219</f>
        <v>2.9249640000000001</v>
      </c>
      <c r="O64" s="397">
        <f>N64*B64</f>
        <v>0</v>
      </c>
      <c r="P64" s="525"/>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c r="HS64" s="120"/>
      <c r="HT64" s="120"/>
      <c r="HU64" s="120"/>
      <c r="HV64" s="120"/>
      <c r="HW64" s="120"/>
      <c r="HX64" s="120"/>
      <c r="HY64" s="120"/>
      <c r="HZ64" s="120"/>
      <c r="IA64" s="120"/>
      <c r="IB64" s="120"/>
      <c r="IC64" s="120"/>
      <c r="ID64" s="120"/>
      <c r="IE64" s="120"/>
      <c r="IF64" s="120"/>
      <c r="IG64" s="120"/>
      <c r="IH64" s="120"/>
      <c r="II64" s="120"/>
      <c r="IJ64" s="120"/>
      <c r="IK64" s="120"/>
      <c r="IL64" s="120"/>
      <c r="IM64" s="120"/>
      <c r="IN64" s="120"/>
      <c r="IO64" s="120"/>
      <c r="IP64" s="120"/>
      <c r="IQ64" s="120"/>
      <c r="IR64" s="120"/>
      <c r="IS64" s="120"/>
      <c r="IT64" s="120"/>
      <c r="IU64" s="120"/>
      <c r="IV64" s="120"/>
    </row>
    <row r="65" spans="1:256" ht="13.5" thickBot="1">
      <c r="A65" s="1053"/>
      <c r="B65" s="252"/>
      <c r="C65" s="63" t="s">
        <v>3882</v>
      </c>
      <c r="D65" s="176" t="s">
        <v>3883</v>
      </c>
      <c r="E65" s="389">
        <v>1259.3900000000001</v>
      </c>
      <c r="F65" s="14">
        <f t="shared" si="0"/>
        <v>755.63400000000001</v>
      </c>
      <c r="G65" s="396">
        <f t="shared" si="1"/>
        <v>0</v>
      </c>
      <c r="H65" s="397">
        <f t="shared" si="2"/>
        <v>63.851073000000007</v>
      </c>
      <c r="I65" s="397">
        <f t="shared" si="3"/>
        <v>0</v>
      </c>
      <c r="J65" s="397">
        <f t="shared" si="4"/>
        <v>24.180288000000001</v>
      </c>
      <c r="K65" s="397">
        <f t="shared" si="5"/>
        <v>0</v>
      </c>
      <c r="L65" s="397">
        <f t="shared" si="6"/>
        <v>19.873174200000001</v>
      </c>
      <c r="M65" s="397">
        <f t="shared" si="7"/>
        <v>0</v>
      </c>
      <c r="N65" s="397">
        <f t="shared" si="8"/>
        <v>16.548384599999999</v>
      </c>
      <c r="O65" s="397">
        <f t="shared" si="9"/>
        <v>0</v>
      </c>
      <c r="P65" s="525"/>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20"/>
      <c r="IN65" s="120"/>
      <c r="IO65" s="120"/>
      <c r="IP65" s="120"/>
      <c r="IQ65" s="120"/>
      <c r="IR65" s="120"/>
      <c r="IS65" s="120"/>
      <c r="IT65" s="120"/>
      <c r="IU65" s="120"/>
      <c r="IV65" s="120"/>
    </row>
    <row r="66" spans="1:256" ht="13.5" thickBot="1">
      <c r="A66" s="1053"/>
      <c r="B66" s="252"/>
      <c r="C66" s="63" t="s">
        <v>3884</v>
      </c>
      <c r="D66" s="176" t="s">
        <v>3885</v>
      </c>
      <c r="E66" s="389">
        <v>1629.23</v>
      </c>
      <c r="F66" s="14">
        <f t="shared" si="0"/>
        <v>977.53800000000001</v>
      </c>
      <c r="G66" s="396">
        <f t="shared" si="1"/>
        <v>0</v>
      </c>
      <c r="H66" s="397">
        <f t="shared" si="2"/>
        <v>82.601961000000003</v>
      </c>
      <c r="I66" s="397">
        <f t="shared" si="3"/>
        <v>0</v>
      </c>
      <c r="J66" s="397">
        <f t="shared" si="4"/>
        <v>31.281216000000001</v>
      </c>
      <c r="K66" s="397">
        <f t="shared" si="5"/>
        <v>0</v>
      </c>
      <c r="L66" s="397">
        <f t="shared" si="6"/>
        <v>25.709249400000001</v>
      </c>
      <c r="M66" s="397">
        <f t="shared" si="7"/>
        <v>0</v>
      </c>
      <c r="N66" s="397">
        <f t="shared" si="8"/>
        <v>21.408082199999999</v>
      </c>
      <c r="O66" s="397">
        <f t="shared" si="9"/>
        <v>0</v>
      </c>
      <c r="P66" s="525"/>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row>
    <row r="67" spans="1:256" ht="13.5" thickBot="1">
      <c r="A67" s="1053"/>
      <c r="B67" s="252"/>
      <c r="C67" s="63" t="s">
        <v>3908</v>
      </c>
      <c r="D67" s="176" t="s">
        <v>3909</v>
      </c>
      <c r="E67" s="389">
        <v>1936.7</v>
      </c>
      <c r="F67" s="14">
        <f t="shared" si="0"/>
        <v>1162.02</v>
      </c>
      <c r="G67" s="396">
        <f t="shared" si="1"/>
        <v>0</v>
      </c>
      <c r="H67" s="397">
        <f t="shared" si="2"/>
        <v>98.190690000000004</v>
      </c>
      <c r="I67" s="397">
        <f t="shared" si="3"/>
        <v>0</v>
      </c>
      <c r="J67" s="397">
        <f t="shared" si="4"/>
        <v>37.184640000000002</v>
      </c>
      <c r="K67" s="397">
        <f t="shared" si="5"/>
        <v>0</v>
      </c>
      <c r="L67" s="397">
        <f t="shared" si="6"/>
        <v>30.561126000000002</v>
      </c>
      <c r="M67" s="397">
        <f t="shared" si="7"/>
        <v>0</v>
      </c>
      <c r="N67" s="397">
        <f t="shared" si="8"/>
        <v>25.448238</v>
      </c>
      <c r="O67" s="397">
        <f t="shared" si="9"/>
        <v>0</v>
      </c>
      <c r="P67" s="525"/>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row>
    <row r="68" spans="1:256" ht="26.25" thickBot="1">
      <c r="A68" s="1053"/>
      <c r="B68" s="252"/>
      <c r="C68" s="63" t="s">
        <v>3886</v>
      </c>
      <c r="D68" s="367" t="s">
        <v>3887</v>
      </c>
      <c r="E68" s="389">
        <v>3643.35</v>
      </c>
      <c r="F68" s="14">
        <f t="shared" si="0"/>
        <v>2186.0099999999998</v>
      </c>
      <c r="G68" s="396">
        <f t="shared" si="1"/>
        <v>0</v>
      </c>
      <c r="H68" s="397">
        <f t="shared" si="2"/>
        <v>184.71784499999998</v>
      </c>
      <c r="I68" s="397">
        <f t="shared" si="3"/>
        <v>0</v>
      </c>
      <c r="J68" s="397">
        <f t="shared" si="4"/>
        <v>69.95232</v>
      </c>
      <c r="K68" s="397">
        <f t="shared" si="5"/>
        <v>0</v>
      </c>
      <c r="L68" s="397">
        <f t="shared" si="6"/>
        <v>57.492062999999995</v>
      </c>
      <c r="M68" s="397">
        <f t="shared" si="7"/>
        <v>0</v>
      </c>
      <c r="N68" s="397">
        <f t="shared" si="8"/>
        <v>47.873618999999991</v>
      </c>
      <c r="O68" s="397">
        <f t="shared" si="9"/>
        <v>0</v>
      </c>
      <c r="P68" s="525"/>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row>
    <row r="69" spans="1:256" ht="13.5" thickBot="1">
      <c r="A69" s="1053"/>
      <c r="B69" s="252"/>
      <c r="C69" s="63" t="s">
        <v>3888</v>
      </c>
      <c r="D69" s="176" t="s">
        <v>3889</v>
      </c>
      <c r="E69" s="389">
        <v>3636</v>
      </c>
      <c r="F69" s="14">
        <f t="shared" si="0"/>
        <v>2181.6</v>
      </c>
      <c r="G69" s="396">
        <f t="shared" si="1"/>
        <v>0</v>
      </c>
      <c r="H69" s="397">
        <f t="shared" si="2"/>
        <v>184.34520000000001</v>
      </c>
      <c r="I69" s="397">
        <f t="shared" si="3"/>
        <v>0</v>
      </c>
      <c r="J69" s="397">
        <f t="shared" si="4"/>
        <v>69.811199999999999</v>
      </c>
      <c r="K69" s="397">
        <f t="shared" si="5"/>
        <v>0</v>
      </c>
      <c r="L69" s="397">
        <f t="shared" si="6"/>
        <v>57.376080000000002</v>
      </c>
      <c r="M69" s="397">
        <f t="shared" si="7"/>
        <v>0</v>
      </c>
      <c r="N69" s="397">
        <f t="shared" si="8"/>
        <v>47.77704</v>
      </c>
      <c r="O69" s="397">
        <f t="shared" si="9"/>
        <v>0</v>
      </c>
      <c r="P69" s="525"/>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row>
    <row r="70" spans="1:256" ht="13.5" thickBot="1">
      <c r="A70" s="1053"/>
      <c r="B70" s="252"/>
      <c r="C70" s="63" t="s">
        <v>3890</v>
      </c>
      <c r="D70" s="176" t="s">
        <v>3891</v>
      </c>
      <c r="E70" s="389">
        <v>2041</v>
      </c>
      <c r="F70" s="14">
        <f t="shared" si="0"/>
        <v>1224.5999999999999</v>
      </c>
      <c r="G70" s="396">
        <f t="shared" si="1"/>
        <v>0</v>
      </c>
      <c r="H70" s="397">
        <f t="shared" si="2"/>
        <v>103.4787</v>
      </c>
      <c r="I70" s="397">
        <f t="shared" si="3"/>
        <v>0</v>
      </c>
      <c r="J70" s="397">
        <f t="shared" si="4"/>
        <v>39.187199999999997</v>
      </c>
      <c r="K70" s="397">
        <f t="shared" si="5"/>
        <v>0</v>
      </c>
      <c r="L70" s="397">
        <f t="shared" si="6"/>
        <v>32.206980000000001</v>
      </c>
      <c r="M70" s="397">
        <f t="shared" si="7"/>
        <v>0</v>
      </c>
      <c r="N70" s="397">
        <f t="shared" si="8"/>
        <v>26.818739999999998</v>
      </c>
      <c r="O70" s="397">
        <f t="shared" si="9"/>
        <v>0</v>
      </c>
      <c r="P70" s="525"/>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row>
    <row r="71" spans="1:256" ht="13.5" thickBot="1">
      <c r="A71" s="1053"/>
      <c r="B71" s="345"/>
      <c r="C71" s="63" t="s">
        <v>214</v>
      </c>
      <c r="D71" s="176" t="s">
        <v>246</v>
      </c>
      <c r="E71" s="389">
        <v>588.5</v>
      </c>
      <c r="F71" s="14">
        <f t="shared" si="0"/>
        <v>353.09999999999997</v>
      </c>
      <c r="G71" s="396">
        <f t="shared" si="1"/>
        <v>0</v>
      </c>
      <c r="H71" s="397">
        <f t="shared" si="2"/>
        <v>29.836949999999998</v>
      </c>
      <c r="I71" s="397">
        <f t="shared" si="3"/>
        <v>0</v>
      </c>
      <c r="J71" s="397">
        <f t="shared" si="4"/>
        <v>11.299199999999999</v>
      </c>
      <c r="K71" s="397">
        <f t="shared" si="5"/>
        <v>0</v>
      </c>
      <c r="L71" s="397">
        <f t="shared" si="6"/>
        <v>9.2865299999999991</v>
      </c>
      <c r="M71" s="397">
        <f t="shared" si="7"/>
        <v>0</v>
      </c>
      <c r="N71" s="397">
        <f t="shared" si="8"/>
        <v>7.7328899999999994</v>
      </c>
      <c r="O71" s="397">
        <f t="shared" si="9"/>
        <v>0</v>
      </c>
      <c r="P71" s="5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row>
    <row r="72" spans="1:256" ht="13.5" thickBot="1">
      <c r="A72" s="1053"/>
      <c r="B72" s="345"/>
      <c r="C72" s="63" t="s">
        <v>3865</v>
      </c>
      <c r="D72" s="367" t="s">
        <v>3866</v>
      </c>
      <c r="E72" s="389">
        <v>145.52000000000001</v>
      </c>
      <c r="F72" s="14">
        <f t="shared" si="0"/>
        <v>87.311999999999998</v>
      </c>
      <c r="G72" s="396">
        <f t="shared" si="1"/>
        <v>0</v>
      </c>
      <c r="H72" s="397">
        <f t="shared" si="2"/>
        <v>7.3778640000000006</v>
      </c>
      <c r="I72" s="397">
        <f t="shared" si="3"/>
        <v>0</v>
      </c>
      <c r="J72" s="397">
        <f t="shared" si="4"/>
        <v>2.793984</v>
      </c>
      <c r="K72" s="397">
        <f t="shared" si="5"/>
        <v>0</v>
      </c>
      <c r="L72" s="397">
        <f t="shared" si="6"/>
        <v>2.2963056000000002</v>
      </c>
      <c r="M72" s="397">
        <f t="shared" si="7"/>
        <v>0</v>
      </c>
      <c r="N72" s="397">
        <f t="shared" si="8"/>
        <v>1.9121328</v>
      </c>
      <c r="O72" s="397">
        <f t="shared" si="9"/>
        <v>0</v>
      </c>
      <c r="P72" s="5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row>
    <row r="73" spans="1:256" ht="13.5" thickBot="1">
      <c r="A73" s="1053"/>
      <c r="B73" s="345"/>
      <c r="C73" s="63" t="s">
        <v>3892</v>
      </c>
      <c r="D73" s="176" t="s">
        <v>3893</v>
      </c>
      <c r="E73" s="389">
        <v>148.72999999999999</v>
      </c>
      <c r="F73" s="14">
        <f t="shared" si="0"/>
        <v>89.237999999999985</v>
      </c>
      <c r="G73" s="396">
        <f t="shared" si="1"/>
        <v>0</v>
      </c>
      <c r="H73" s="397">
        <f t="shared" si="2"/>
        <v>7.5406109999999993</v>
      </c>
      <c r="I73" s="397">
        <f t="shared" si="3"/>
        <v>0</v>
      </c>
      <c r="J73" s="397">
        <f t="shared" si="4"/>
        <v>2.8556159999999995</v>
      </c>
      <c r="K73" s="397">
        <f t="shared" si="5"/>
        <v>0</v>
      </c>
      <c r="L73" s="397">
        <f t="shared" si="6"/>
        <v>2.3469593999999998</v>
      </c>
      <c r="M73" s="397">
        <f t="shared" si="7"/>
        <v>0</v>
      </c>
      <c r="N73" s="397">
        <f t="shared" si="8"/>
        <v>1.9543121999999997</v>
      </c>
      <c r="O73" s="397">
        <f t="shared" si="9"/>
        <v>0</v>
      </c>
      <c r="P73" s="5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row>
    <row r="74" spans="1:256" ht="13.5" thickBot="1">
      <c r="A74" s="1053"/>
      <c r="B74" s="345"/>
      <c r="C74" s="63" t="s">
        <v>129</v>
      </c>
      <c r="D74" s="176" t="s">
        <v>171</v>
      </c>
      <c r="E74" s="389">
        <v>785</v>
      </c>
      <c r="F74" s="14">
        <f t="shared" si="0"/>
        <v>471</v>
      </c>
      <c r="G74" s="396">
        <f t="shared" si="1"/>
        <v>0</v>
      </c>
      <c r="H74" s="397">
        <f t="shared" si="2"/>
        <v>39.799500000000002</v>
      </c>
      <c r="I74" s="397">
        <f t="shared" si="3"/>
        <v>0</v>
      </c>
      <c r="J74" s="397">
        <f t="shared" si="4"/>
        <v>15.072000000000001</v>
      </c>
      <c r="K74" s="397">
        <f t="shared" si="5"/>
        <v>0</v>
      </c>
      <c r="L74" s="397">
        <f t="shared" si="6"/>
        <v>12.3873</v>
      </c>
      <c r="M74" s="397">
        <f t="shared" si="7"/>
        <v>0</v>
      </c>
      <c r="N74" s="397">
        <f t="shared" si="8"/>
        <v>10.3149</v>
      </c>
      <c r="O74" s="397">
        <f t="shared" si="9"/>
        <v>0</v>
      </c>
      <c r="P74" s="5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row>
    <row r="75" spans="1:256" ht="13.5" thickBot="1">
      <c r="A75" s="1053"/>
      <c r="B75" s="345"/>
      <c r="C75" s="449" t="s">
        <v>133</v>
      </c>
      <c r="D75" s="450" t="s">
        <v>134</v>
      </c>
      <c r="E75" s="451">
        <v>690</v>
      </c>
      <c r="F75" s="14">
        <f t="shared" si="0"/>
        <v>414</v>
      </c>
      <c r="G75" s="396">
        <f t="shared" si="1"/>
        <v>0</v>
      </c>
      <c r="H75" s="397">
        <f t="shared" si="2"/>
        <v>34.983000000000004</v>
      </c>
      <c r="I75" s="397">
        <f t="shared" si="3"/>
        <v>0</v>
      </c>
      <c r="J75" s="397">
        <f t="shared" si="4"/>
        <v>13.248000000000001</v>
      </c>
      <c r="K75" s="397">
        <f t="shared" si="5"/>
        <v>0</v>
      </c>
      <c r="L75" s="397">
        <f t="shared" si="6"/>
        <v>10.888199999999999</v>
      </c>
      <c r="M75" s="397">
        <f t="shared" si="7"/>
        <v>0</v>
      </c>
      <c r="N75" s="397">
        <f t="shared" si="8"/>
        <v>9.0665999999999993</v>
      </c>
      <c r="O75" s="397">
        <f t="shared" si="9"/>
        <v>0</v>
      </c>
      <c r="P75" s="5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row>
    <row r="76" spans="1:256" ht="13.5" thickBot="1">
      <c r="A76" s="1053"/>
      <c r="B76" s="345"/>
      <c r="C76" s="449" t="s">
        <v>135</v>
      </c>
      <c r="D76" s="450" t="s">
        <v>136</v>
      </c>
      <c r="E76" s="451">
        <v>191</v>
      </c>
      <c r="F76" s="14">
        <f t="shared" si="0"/>
        <v>114.6</v>
      </c>
      <c r="G76" s="396">
        <f t="shared" si="1"/>
        <v>0</v>
      </c>
      <c r="H76" s="397">
        <f t="shared" si="2"/>
        <v>9.6837</v>
      </c>
      <c r="I76" s="397">
        <f t="shared" si="3"/>
        <v>0</v>
      </c>
      <c r="J76" s="397">
        <f t="shared" si="4"/>
        <v>3.6671999999999998</v>
      </c>
      <c r="K76" s="397">
        <f t="shared" si="5"/>
        <v>0</v>
      </c>
      <c r="L76" s="397">
        <f t="shared" si="6"/>
        <v>3.0139800000000001</v>
      </c>
      <c r="M76" s="397">
        <f t="shared" si="7"/>
        <v>0</v>
      </c>
      <c r="N76" s="397">
        <f t="shared" si="8"/>
        <v>2.5097399999999999</v>
      </c>
      <c r="O76" s="397">
        <f t="shared" si="9"/>
        <v>0</v>
      </c>
      <c r="P76" s="5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row>
    <row r="77" spans="1:256" ht="13.5" thickBot="1">
      <c r="A77" s="1053"/>
      <c r="B77" s="345"/>
      <c r="C77" s="452" t="s">
        <v>137</v>
      </c>
      <c r="D77" s="453" t="s">
        <v>3894</v>
      </c>
      <c r="E77" s="454">
        <v>667.8</v>
      </c>
      <c r="F77" s="14">
        <f t="shared" si="0"/>
        <v>400.67999999999995</v>
      </c>
      <c r="G77" s="396">
        <f t="shared" si="1"/>
        <v>0</v>
      </c>
      <c r="H77" s="397">
        <f t="shared" si="2"/>
        <v>33.857459999999996</v>
      </c>
      <c r="I77" s="397">
        <f t="shared" si="3"/>
        <v>0</v>
      </c>
      <c r="J77" s="397">
        <f t="shared" si="4"/>
        <v>12.821759999999999</v>
      </c>
      <c r="K77" s="397">
        <f t="shared" si="5"/>
        <v>0</v>
      </c>
      <c r="L77" s="397">
        <f t="shared" si="6"/>
        <v>10.537883999999998</v>
      </c>
      <c r="M77" s="397">
        <f t="shared" si="7"/>
        <v>0</v>
      </c>
      <c r="N77" s="397">
        <f t="shared" si="8"/>
        <v>8.7748919999999995</v>
      </c>
      <c r="O77" s="397">
        <f t="shared" si="9"/>
        <v>0</v>
      </c>
      <c r="P77" s="52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205"/>
      <c r="FL77" s="205"/>
      <c r="FM77" s="205"/>
      <c r="FN77" s="205"/>
      <c r="FO77" s="205"/>
      <c r="FP77" s="205"/>
      <c r="FQ77" s="205"/>
      <c r="FR77" s="205"/>
      <c r="FS77" s="205"/>
      <c r="FT77" s="205"/>
      <c r="FU77" s="205"/>
      <c r="FV77" s="205"/>
      <c r="FW77" s="205"/>
      <c r="FX77" s="205"/>
      <c r="FY77" s="205"/>
      <c r="FZ77" s="205"/>
      <c r="GA77" s="205"/>
      <c r="GB77" s="205"/>
      <c r="GC77" s="205"/>
      <c r="GD77" s="205"/>
      <c r="GE77" s="205"/>
      <c r="GF77" s="205"/>
      <c r="GG77" s="205"/>
      <c r="GH77" s="205"/>
      <c r="GI77" s="205"/>
      <c r="GJ77" s="205"/>
      <c r="GK77" s="205"/>
      <c r="GL77" s="205"/>
      <c r="GM77" s="205"/>
      <c r="GN77" s="205"/>
      <c r="GO77" s="205"/>
      <c r="GP77" s="205"/>
      <c r="GQ77" s="205"/>
      <c r="GR77" s="205"/>
      <c r="GS77" s="205"/>
      <c r="GT77" s="205"/>
      <c r="GU77" s="205"/>
      <c r="GV77" s="205"/>
      <c r="GW77" s="205"/>
      <c r="GX77" s="205"/>
      <c r="GY77" s="205"/>
      <c r="GZ77" s="205"/>
      <c r="HA77" s="205"/>
      <c r="HB77" s="205"/>
      <c r="HC77" s="205"/>
      <c r="HD77" s="205"/>
      <c r="HE77" s="205"/>
      <c r="HF77" s="205"/>
      <c r="HG77" s="205"/>
      <c r="HH77" s="205"/>
      <c r="HI77" s="205"/>
      <c r="HJ77" s="205"/>
      <c r="HK77" s="205"/>
      <c r="HL77" s="205"/>
      <c r="HM77" s="205"/>
      <c r="HN77" s="205"/>
      <c r="HO77" s="205"/>
      <c r="HP77" s="205"/>
      <c r="HQ77" s="205"/>
      <c r="HR77" s="205"/>
      <c r="HS77" s="205"/>
      <c r="HT77" s="205"/>
      <c r="HU77" s="205"/>
      <c r="HV77" s="205"/>
      <c r="HW77" s="205"/>
      <c r="HX77" s="205"/>
      <c r="HY77" s="205"/>
      <c r="HZ77" s="205"/>
      <c r="IA77" s="205"/>
      <c r="IB77" s="205"/>
      <c r="IC77" s="205"/>
      <c r="ID77" s="205"/>
      <c r="IE77" s="205"/>
      <c r="IF77" s="205"/>
      <c r="IG77" s="205"/>
      <c r="IH77" s="205"/>
      <c r="II77" s="205"/>
      <c r="IJ77" s="205"/>
      <c r="IK77" s="205"/>
      <c r="IL77" s="205"/>
      <c r="IM77" s="205"/>
      <c r="IN77" s="205"/>
      <c r="IO77" s="205"/>
      <c r="IP77" s="205"/>
      <c r="IQ77" s="205"/>
      <c r="IR77" s="205"/>
      <c r="IS77" s="205"/>
      <c r="IT77" s="205"/>
      <c r="IU77" s="205"/>
      <c r="IV77" s="205"/>
    </row>
    <row r="78" spans="1:256" ht="26.25" thickBot="1">
      <c r="A78" s="1053"/>
      <c r="B78" s="345"/>
      <c r="C78" s="63" t="s">
        <v>139</v>
      </c>
      <c r="D78" s="176" t="s">
        <v>140</v>
      </c>
      <c r="E78" s="389">
        <v>250</v>
      </c>
      <c r="F78" s="25">
        <f t="shared" si="0"/>
        <v>150</v>
      </c>
      <c r="G78" s="396">
        <f t="shared" si="1"/>
        <v>0</v>
      </c>
      <c r="H78" s="397">
        <f t="shared" si="2"/>
        <v>12.675000000000001</v>
      </c>
      <c r="I78" s="397">
        <f t="shared" si="3"/>
        <v>0</v>
      </c>
      <c r="J78" s="397">
        <f t="shared" si="4"/>
        <v>4.8</v>
      </c>
      <c r="K78" s="397">
        <f t="shared" si="5"/>
        <v>0</v>
      </c>
      <c r="L78" s="397">
        <f t="shared" si="6"/>
        <v>3.9450000000000003</v>
      </c>
      <c r="M78" s="397">
        <f t="shared" si="7"/>
        <v>0</v>
      </c>
      <c r="N78" s="397">
        <f t="shared" si="8"/>
        <v>3.2849999999999997</v>
      </c>
      <c r="O78" s="397">
        <f t="shared" si="9"/>
        <v>0</v>
      </c>
      <c r="P78" s="5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row>
    <row r="79" spans="1:256" ht="13.5" thickBot="1">
      <c r="A79" s="1053"/>
      <c r="B79" s="345"/>
      <c r="C79" s="63" t="s">
        <v>218</v>
      </c>
      <c r="D79" s="176" t="s">
        <v>253</v>
      </c>
      <c r="E79" s="389">
        <v>70.62</v>
      </c>
      <c r="F79" s="14">
        <f t="shared" si="0"/>
        <v>42.372</v>
      </c>
      <c r="G79" s="396">
        <f t="shared" si="1"/>
        <v>0</v>
      </c>
      <c r="H79" s="397">
        <f t="shared" si="2"/>
        <v>3.5804340000000003</v>
      </c>
      <c r="I79" s="397">
        <f t="shared" si="3"/>
        <v>0</v>
      </c>
      <c r="J79" s="397">
        <f t="shared" si="4"/>
        <v>1.355904</v>
      </c>
      <c r="K79" s="397">
        <f t="shared" si="5"/>
        <v>0</v>
      </c>
      <c r="L79" s="397">
        <f t="shared" si="6"/>
        <v>1.1143836</v>
      </c>
      <c r="M79" s="397">
        <f t="shared" si="7"/>
        <v>0</v>
      </c>
      <c r="N79" s="397">
        <f t="shared" si="8"/>
        <v>0.92794679999999996</v>
      </c>
      <c r="O79" s="397">
        <f t="shared" si="9"/>
        <v>0</v>
      </c>
      <c r="P79" s="5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row>
    <row r="80" spans="1:256" ht="13.5" thickBot="1">
      <c r="A80" s="1053"/>
      <c r="B80" s="345"/>
      <c r="C80" s="63" t="s">
        <v>3895</v>
      </c>
      <c r="D80" s="367" t="s">
        <v>3896</v>
      </c>
      <c r="E80" s="389">
        <v>89.88</v>
      </c>
      <c r="F80" s="14">
        <f t="shared" si="0"/>
        <v>53.927999999999997</v>
      </c>
      <c r="G80" s="396">
        <f t="shared" si="1"/>
        <v>0</v>
      </c>
      <c r="H80" s="397">
        <f t="shared" si="2"/>
        <v>4.5569160000000002</v>
      </c>
      <c r="I80" s="397">
        <f t="shared" si="3"/>
        <v>0</v>
      </c>
      <c r="J80" s="397">
        <f t="shared" si="4"/>
        <v>1.7256959999999999</v>
      </c>
      <c r="K80" s="397">
        <f t="shared" si="5"/>
        <v>0</v>
      </c>
      <c r="L80" s="397">
        <f t="shared" si="6"/>
        <v>1.4183063999999999</v>
      </c>
      <c r="M80" s="397">
        <f t="shared" si="7"/>
        <v>0</v>
      </c>
      <c r="N80" s="397">
        <f t="shared" si="8"/>
        <v>1.1810231999999998</v>
      </c>
      <c r="O80" s="397">
        <f t="shared" si="9"/>
        <v>0</v>
      </c>
      <c r="P80" s="5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row>
    <row r="81" spans="1:256" ht="13.5" thickBot="1">
      <c r="A81" s="1053"/>
      <c r="B81" s="72"/>
      <c r="C81" s="63" t="s">
        <v>219</v>
      </c>
      <c r="D81" s="367" t="s">
        <v>220</v>
      </c>
      <c r="E81" s="389">
        <v>111.28</v>
      </c>
      <c r="F81" s="14">
        <f t="shared" si="0"/>
        <v>66.768000000000001</v>
      </c>
      <c r="G81" s="396">
        <f t="shared" si="1"/>
        <v>0</v>
      </c>
      <c r="H81" s="397">
        <f t="shared" si="2"/>
        <v>5.641896</v>
      </c>
      <c r="I81" s="397">
        <f t="shared" si="3"/>
        <v>0</v>
      </c>
      <c r="J81" s="397">
        <f t="shared" si="4"/>
        <v>2.1365760000000003</v>
      </c>
      <c r="K81" s="397">
        <f t="shared" si="5"/>
        <v>0</v>
      </c>
      <c r="L81" s="397">
        <f t="shared" si="6"/>
        <v>1.7559984</v>
      </c>
      <c r="M81" s="397">
        <f t="shared" si="7"/>
        <v>0</v>
      </c>
      <c r="N81" s="397">
        <f t="shared" si="8"/>
        <v>1.4622192000000001</v>
      </c>
      <c r="O81" s="397">
        <f t="shared" si="9"/>
        <v>0</v>
      </c>
      <c r="P81" s="525"/>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row>
    <row r="82" spans="1:256" ht="26.25" thickBot="1">
      <c r="A82" s="1053"/>
      <c r="B82" s="72"/>
      <c r="C82" s="63" t="s">
        <v>3897</v>
      </c>
      <c r="D82" s="176" t="s">
        <v>3898</v>
      </c>
      <c r="E82" s="389">
        <v>1075.3499999999999</v>
      </c>
      <c r="F82" s="14">
        <f t="shared" si="0"/>
        <v>645.20999999999992</v>
      </c>
      <c r="G82" s="396">
        <f t="shared" si="1"/>
        <v>0</v>
      </c>
      <c r="H82" s="397">
        <f t="shared" si="2"/>
        <v>54.520244999999996</v>
      </c>
      <c r="I82" s="397">
        <f t="shared" si="3"/>
        <v>0</v>
      </c>
      <c r="J82" s="397">
        <f t="shared" si="4"/>
        <v>20.646719999999998</v>
      </c>
      <c r="K82" s="397">
        <f t="shared" si="5"/>
        <v>0</v>
      </c>
      <c r="L82" s="397">
        <f t="shared" si="6"/>
        <v>16.969023</v>
      </c>
      <c r="M82" s="397">
        <f t="shared" si="7"/>
        <v>0</v>
      </c>
      <c r="N82" s="397">
        <f t="shared" si="8"/>
        <v>14.130098999999998</v>
      </c>
      <c r="O82" s="397">
        <f t="shared" si="9"/>
        <v>0</v>
      </c>
      <c r="P82" s="525"/>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row>
    <row r="83" spans="1:256" ht="26.25" thickBot="1">
      <c r="A83" s="1053"/>
      <c r="B83" s="72"/>
      <c r="C83" s="63" t="s">
        <v>3899</v>
      </c>
      <c r="D83" s="367" t="s">
        <v>3900</v>
      </c>
      <c r="E83" s="389">
        <v>1402.77</v>
      </c>
      <c r="F83" s="14">
        <f t="shared" si="0"/>
        <v>841.66199999999992</v>
      </c>
      <c r="G83" s="396">
        <f t="shared" si="1"/>
        <v>0</v>
      </c>
      <c r="H83" s="397">
        <f t="shared" si="2"/>
        <v>71.120439000000005</v>
      </c>
      <c r="I83" s="397">
        <f t="shared" si="3"/>
        <v>0</v>
      </c>
      <c r="J83" s="397">
        <f t="shared" si="4"/>
        <v>26.933183999999997</v>
      </c>
      <c r="K83" s="397">
        <f t="shared" si="5"/>
        <v>0</v>
      </c>
      <c r="L83" s="397">
        <f t="shared" si="6"/>
        <v>22.135710599999999</v>
      </c>
      <c r="M83" s="397">
        <f t="shared" si="7"/>
        <v>0</v>
      </c>
      <c r="N83" s="397">
        <f t="shared" si="8"/>
        <v>18.432397799999997</v>
      </c>
      <c r="O83" s="397">
        <f t="shared" si="9"/>
        <v>0</v>
      </c>
      <c r="P83" s="525"/>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row>
    <row r="84" spans="1:256" ht="13.5" thickBot="1">
      <c r="A84" s="1053"/>
      <c r="B84" s="72"/>
      <c r="C84" s="63" t="s">
        <v>221</v>
      </c>
      <c r="D84" s="176" t="s">
        <v>3901</v>
      </c>
      <c r="E84" s="389">
        <v>1651.01</v>
      </c>
      <c r="F84" s="14">
        <f t="shared" si="0"/>
        <v>990.60599999999999</v>
      </c>
      <c r="G84" s="396">
        <f t="shared" si="1"/>
        <v>0</v>
      </c>
      <c r="H84" s="397">
        <f t="shared" si="2"/>
        <v>83.706207000000006</v>
      </c>
      <c r="I84" s="397">
        <f t="shared" si="3"/>
        <v>0</v>
      </c>
      <c r="J84" s="397">
        <f t="shared" si="4"/>
        <v>31.699392</v>
      </c>
      <c r="K84" s="397">
        <f t="shared" si="5"/>
        <v>0</v>
      </c>
      <c r="L84" s="397">
        <f t="shared" si="6"/>
        <v>26.052937799999999</v>
      </c>
      <c r="M84" s="397">
        <f t="shared" si="7"/>
        <v>0</v>
      </c>
      <c r="N84" s="397">
        <f t="shared" si="8"/>
        <v>21.694271399999998</v>
      </c>
      <c r="O84" s="397">
        <f t="shared" si="9"/>
        <v>0</v>
      </c>
      <c r="P84" s="525"/>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row>
    <row r="85" spans="1:256" ht="13.5" thickBot="1">
      <c r="A85" s="1053"/>
      <c r="B85" s="345"/>
      <c r="C85" s="63" t="s">
        <v>222</v>
      </c>
      <c r="D85" s="176" t="s">
        <v>3902</v>
      </c>
      <c r="E85" s="389">
        <v>690.15</v>
      </c>
      <c r="F85" s="14">
        <f t="shared" si="0"/>
        <v>414.09</v>
      </c>
      <c r="G85" s="396">
        <f t="shared" si="1"/>
        <v>0</v>
      </c>
      <c r="H85" s="397">
        <f t="shared" si="2"/>
        <v>34.990605000000002</v>
      </c>
      <c r="I85" s="397">
        <f t="shared" si="3"/>
        <v>0</v>
      </c>
      <c r="J85" s="397">
        <f t="shared" si="4"/>
        <v>13.250879999999999</v>
      </c>
      <c r="K85" s="397">
        <f t="shared" si="5"/>
        <v>0</v>
      </c>
      <c r="L85" s="397">
        <f t="shared" si="6"/>
        <v>10.890566999999999</v>
      </c>
      <c r="M85" s="397">
        <f t="shared" si="7"/>
        <v>0</v>
      </c>
      <c r="N85" s="397">
        <f t="shared" si="8"/>
        <v>9.0685709999999986</v>
      </c>
      <c r="O85" s="397">
        <f t="shared" si="9"/>
        <v>0</v>
      </c>
      <c r="P85" s="5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row>
    <row r="86" spans="1:256" ht="13.5" thickBot="1">
      <c r="A86" s="1053"/>
      <c r="B86" s="345"/>
      <c r="C86" s="455" t="s">
        <v>3876</v>
      </c>
      <c r="D86" s="176" t="s">
        <v>3877</v>
      </c>
      <c r="E86" s="389">
        <v>690.15</v>
      </c>
      <c r="F86" s="14">
        <f t="shared" si="0"/>
        <v>414.09</v>
      </c>
      <c r="G86" s="396">
        <f t="shared" si="1"/>
        <v>0</v>
      </c>
      <c r="H86" s="397">
        <f t="shared" si="2"/>
        <v>34.990605000000002</v>
      </c>
      <c r="I86" s="397">
        <f t="shared" si="3"/>
        <v>0</v>
      </c>
      <c r="J86" s="397">
        <f t="shared" si="4"/>
        <v>13.250879999999999</v>
      </c>
      <c r="K86" s="397">
        <f t="shared" si="5"/>
        <v>0</v>
      </c>
      <c r="L86" s="397">
        <f t="shared" si="6"/>
        <v>10.890566999999999</v>
      </c>
      <c r="M86" s="397">
        <f t="shared" si="7"/>
        <v>0</v>
      </c>
      <c r="N86" s="397">
        <f t="shared" si="8"/>
        <v>9.0685709999999986</v>
      </c>
      <c r="O86" s="397">
        <f t="shared" si="9"/>
        <v>0</v>
      </c>
      <c r="P86" s="5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row>
    <row r="87" spans="1:256" ht="13.5" thickBot="1">
      <c r="A87" s="1053"/>
      <c r="B87" s="345"/>
      <c r="C87" s="63" t="s">
        <v>3903</v>
      </c>
      <c r="D87" s="176" t="s">
        <v>3904</v>
      </c>
      <c r="E87" s="389">
        <v>247.17</v>
      </c>
      <c r="F87" s="14">
        <f t="shared" si="0"/>
        <v>148.30199999999999</v>
      </c>
      <c r="G87" s="396">
        <f t="shared" si="1"/>
        <v>0</v>
      </c>
      <c r="H87" s="397">
        <f t="shared" si="2"/>
        <v>12.531518999999999</v>
      </c>
      <c r="I87" s="397">
        <f t="shared" si="3"/>
        <v>0</v>
      </c>
      <c r="J87" s="397">
        <f t="shared" si="4"/>
        <v>4.7456639999999997</v>
      </c>
      <c r="K87" s="397">
        <f t="shared" si="5"/>
        <v>0</v>
      </c>
      <c r="L87" s="397">
        <f t="shared" si="6"/>
        <v>3.9003425999999997</v>
      </c>
      <c r="M87" s="397">
        <f t="shared" si="7"/>
        <v>0</v>
      </c>
      <c r="N87" s="397">
        <f t="shared" si="8"/>
        <v>3.2478137999999999</v>
      </c>
      <c r="O87" s="397">
        <f t="shared" si="9"/>
        <v>0</v>
      </c>
      <c r="P87" s="52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row>
    <row r="88" spans="1:256" ht="13.5" thickBot="1">
      <c r="A88" s="1053"/>
      <c r="B88" s="345"/>
      <c r="C88" s="63" t="s">
        <v>258</v>
      </c>
      <c r="D88" s="176" t="s">
        <v>223</v>
      </c>
      <c r="E88" s="389">
        <v>56.71</v>
      </c>
      <c r="F88" s="14">
        <f t="shared" si="0"/>
        <v>34.025999999999996</v>
      </c>
      <c r="G88" s="396">
        <f t="shared" si="1"/>
        <v>0</v>
      </c>
      <c r="H88" s="397">
        <f t="shared" si="2"/>
        <v>2.875197</v>
      </c>
      <c r="I88" s="397">
        <f t="shared" si="3"/>
        <v>0</v>
      </c>
      <c r="J88" s="397">
        <f t="shared" si="4"/>
        <v>1.0888319999999998</v>
      </c>
      <c r="K88" s="397">
        <f t="shared" si="5"/>
        <v>0</v>
      </c>
      <c r="L88" s="397">
        <f t="shared" si="6"/>
        <v>0.8948837999999999</v>
      </c>
      <c r="M88" s="397">
        <f t="shared" si="7"/>
        <v>0</v>
      </c>
      <c r="N88" s="397">
        <f t="shared" si="8"/>
        <v>0.74516939999999987</v>
      </c>
      <c r="O88" s="397">
        <f t="shared" si="9"/>
        <v>0</v>
      </c>
      <c r="P88" s="5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row>
    <row r="89" spans="1:256" ht="13.5" thickBot="1">
      <c r="A89" s="1053"/>
      <c r="B89" s="72"/>
      <c r="C89" s="63" t="s">
        <v>259</v>
      </c>
      <c r="D89" s="176" t="s">
        <v>436</v>
      </c>
      <c r="E89" s="389">
        <v>32.1</v>
      </c>
      <c r="F89" s="14">
        <f t="shared" si="0"/>
        <v>19.260000000000002</v>
      </c>
      <c r="G89" s="396">
        <f>F89*B89</f>
        <v>0</v>
      </c>
      <c r="H89" s="397">
        <f t="shared" si="2"/>
        <v>1.6274700000000002</v>
      </c>
      <c r="I89" s="397">
        <f t="shared" si="3"/>
        <v>0</v>
      </c>
      <c r="J89" s="397">
        <f t="shared" si="4"/>
        <v>0.61632000000000009</v>
      </c>
      <c r="K89" s="397">
        <f t="shared" si="5"/>
        <v>0</v>
      </c>
      <c r="L89" s="397">
        <f t="shared" si="6"/>
        <v>0.50653800000000004</v>
      </c>
      <c r="M89" s="397">
        <f t="shared" si="7"/>
        <v>0</v>
      </c>
      <c r="N89" s="397">
        <f t="shared" si="8"/>
        <v>0.421794</v>
      </c>
      <c r="O89" s="397">
        <f t="shared" si="9"/>
        <v>0</v>
      </c>
      <c r="P89" s="525"/>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row>
    <row r="90" spans="1:256" ht="13.5" thickBot="1">
      <c r="A90" s="1053"/>
      <c r="B90" s="72"/>
      <c r="C90" s="63" t="s">
        <v>527</v>
      </c>
      <c r="D90" s="176" t="s">
        <v>224</v>
      </c>
      <c r="E90" s="389">
        <v>35.31</v>
      </c>
      <c r="F90" s="25">
        <f t="shared" si="0"/>
        <v>21.186</v>
      </c>
      <c r="G90" s="396">
        <f t="shared" si="1"/>
        <v>0</v>
      </c>
      <c r="H90" s="397">
        <f t="shared" si="2"/>
        <v>1.7902170000000002</v>
      </c>
      <c r="I90" s="397">
        <f t="shared" si="3"/>
        <v>0</v>
      </c>
      <c r="J90" s="397">
        <f t="shared" si="4"/>
        <v>0.677952</v>
      </c>
      <c r="K90" s="397">
        <f t="shared" si="5"/>
        <v>0</v>
      </c>
      <c r="L90" s="397">
        <f t="shared" si="6"/>
        <v>0.55719180000000001</v>
      </c>
      <c r="M90" s="397">
        <f t="shared" si="7"/>
        <v>0</v>
      </c>
      <c r="N90" s="397">
        <f t="shared" si="8"/>
        <v>0.46397339999999998</v>
      </c>
      <c r="O90" s="397">
        <f t="shared" si="9"/>
        <v>0</v>
      </c>
      <c r="P90" s="525"/>
      <c r="Q90" s="376"/>
      <c r="R90" s="376"/>
      <c r="S90" s="376"/>
      <c r="T90" s="376"/>
      <c r="U90" s="376"/>
      <c r="V90" s="376"/>
      <c r="W90" s="376"/>
      <c r="X90" s="376"/>
      <c r="Y90" s="376"/>
      <c r="Z90" s="376"/>
      <c r="AA90" s="376"/>
      <c r="AB90" s="376"/>
      <c r="AC90" s="376"/>
      <c r="AD90" s="376"/>
      <c r="AE90" s="376"/>
      <c r="AF90" s="376"/>
      <c r="AG90" s="376"/>
      <c r="AH90" s="376"/>
      <c r="AI90" s="376"/>
      <c r="AJ90" s="376"/>
      <c r="AK90" s="376"/>
      <c r="AL90" s="376"/>
      <c r="AM90" s="376"/>
      <c r="AN90" s="376"/>
      <c r="AO90" s="376"/>
      <c r="AP90" s="376"/>
      <c r="AQ90" s="376"/>
      <c r="AR90" s="376"/>
      <c r="AS90" s="376"/>
      <c r="AT90" s="376"/>
      <c r="AU90" s="376"/>
      <c r="AV90" s="376"/>
      <c r="AW90" s="376"/>
      <c r="AX90" s="376"/>
      <c r="AY90" s="376"/>
      <c r="AZ90" s="376"/>
      <c r="BA90" s="376"/>
      <c r="BB90" s="376"/>
      <c r="BC90" s="376"/>
      <c r="BD90" s="376"/>
      <c r="BE90" s="376"/>
      <c r="BF90" s="376"/>
      <c r="BG90" s="376"/>
      <c r="BH90" s="376"/>
      <c r="BI90" s="376"/>
      <c r="BJ90" s="376"/>
      <c r="BK90" s="376"/>
      <c r="BL90" s="376"/>
      <c r="BM90" s="376"/>
      <c r="BN90" s="376"/>
      <c r="BO90" s="376"/>
      <c r="BP90" s="376"/>
      <c r="BQ90" s="376"/>
      <c r="BR90" s="376"/>
      <c r="BS90" s="376"/>
      <c r="BT90" s="376"/>
      <c r="BU90" s="376"/>
      <c r="BV90" s="376"/>
      <c r="BW90" s="376"/>
      <c r="BX90" s="376"/>
      <c r="BY90" s="376"/>
      <c r="BZ90" s="376"/>
      <c r="CA90" s="376"/>
      <c r="CB90" s="376"/>
      <c r="CC90" s="376"/>
      <c r="CD90" s="376"/>
      <c r="CE90" s="376"/>
      <c r="CF90" s="376"/>
      <c r="CG90" s="376"/>
      <c r="CH90" s="376"/>
      <c r="CI90" s="376"/>
      <c r="CJ90" s="376"/>
      <c r="CK90" s="376"/>
      <c r="CL90" s="376"/>
      <c r="CM90" s="376"/>
      <c r="CN90" s="376"/>
      <c r="CO90" s="376"/>
      <c r="CP90" s="376"/>
      <c r="CQ90" s="376"/>
      <c r="CR90" s="376"/>
      <c r="CS90" s="376"/>
      <c r="CT90" s="376"/>
      <c r="CU90" s="376"/>
      <c r="CV90" s="376"/>
      <c r="CW90" s="376"/>
      <c r="CX90" s="376"/>
      <c r="CY90" s="376"/>
      <c r="CZ90" s="376"/>
      <c r="DA90" s="376"/>
      <c r="DB90" s="376"/>
      <c r="DC90" s="376"/>
      <c r="DD90" s="376"/>
      <c r="DE90" s="376"/>
      <c r="DF90" s="376"/>
      <c r="DG90" s="376"/>
      <c r="DH90" s="376"/>
      <c r="DI90" s="376"/>
      <c r="DJ90" s="376"/>
      <c r="DK90" s="376"/>
      <c r="DL90" s="376"/>
      <c r="DM90" s="376"/>
      <c r="DN90" s="376"/>
      <c r="DO90" s="376"/>
      <c r="DP90" s="376"/>
      <c r="DQ90" s="376"/>
      <c r="DR90" s="376"/>
      <c r="DS90" s="376"/>
      <c r="DT90" s="376"/>
      <c r="DU90" s="376"/>
      <c r="DV90" s="376"/>
      <c r="DW90" s="376"/>
      <c r="DX90" s="376"/>
      <c r="DY90" s="376"/>
      <c r="DZ90" s="376"/>
      <c r="EA90" s="376"/>
      <c r="EB90" s="376"/>
      <c r="EC90" s="376"/>
      <c r="ED90" s="376"/>
      <c r="EE90" s="376"/>
      <c r="EF90" s="376"/>
      <c r="EG90" s="376"/>
      <c r="EH90" s="376"/>
      <c r="EI90" s="376"/>
      <c r="EJ90" s="376"/>
      <c r="EK90" s="376"/>
      <c r="EL90" s="376"/>
      <c r="EM90" s="376"/>
      <c r="EN90" s="376"/>
      <c r="EO90" s="376"/>
      <c r="EP90" s="376"/>
      <c r="EQ90" s="376"/>
      <c r="ER90" s="376"/>
      <c r="ES90" s="376"/>
      <c r="ET90" s="376"/>
      <c r="EU90" s="376"/>
      <c r="EV90" s="376"/>
      <c r="EW90" s="376"/>
      <c r="EX90" s="376"/>
      <c r="EY90" s="376"/>
      <c r="EZ90" s="376"/>
      <c r="FA90" s="376"/>
      <c r="FB90" s="376"/>
      <c r="FC90" s="376"/>
      <c r="FD90" s="376"/>
      <c r="FE90" s="376"/>
      <c r="FF90" s="376"/>
      <c r="FG90" s="376"/>
      <c r="FH90" s="376"/>
      <c r="FI90" s="376"/>
      <c r="FJ90" s="376"/>
      <c r="FK90" s="376"/>
      <c r="FL90" s="376"/>
      <c r="FM90" s="376"/>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row>
    <row r="91" spans="1:256" ht="13.5" thickBot="1">
      <c r="A91" s="1053"/>
      <c r="B91" s="72"/>
      <c r="C91" s="63" t="s">
        <v>3905</v>
      </c>
      <c r="D91" s="176" t="s">
        <v>3906</v>
      </c>
      <c r="E91" s="389">
        <v>306.02</v>
      </c>
      <c r="F91" s="14">
        <f t="shared" si="0"/>
        <v>183.61199999999999</v>
      </c>
      <c r="G91" s="396">
        <f t="shared" si="1"/>
        <v>0</v>
      </c>
      <c r="H91" s="397">
        <f t="shared" si="2"/>
        <v>15.515214</v>
      </c>
      <c r="I91" s="397">
        <f t="shared" si="3"/>
        <v>0</v>
      </c>
      <c r="J91" s="397">
        <f t="shared" si="4"/>
        <v>5.8755839999999999</v>
      </c>
      <c r="K91" s="397">
        <f t="shared" si="5"/>
        <v>0</v>
      </c>
      <c r="L91" s="397">
        <f t="shared" si="6"/>
        <v>4.8289955999999998</v>
      </c>
      <c r="M91" s="397">
        <f t="shared" si="7"/>
        <v>0</v>
      </c>
      <c r="N91" s="397">
        <f t="shared" si="8"/>
        <v>4.0211027999999995</v>
      </c>
      <c r="O91" s="397">
        <f t="shared" si="9"/>
        <v>0</v>
      </c>
      <c r="P91" s="525"/>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row>
    <row r="92" spans="1:256" ht="13.5" thickBot="1">
      <c r="A92" s="1054"/>
      <c r="B92" s="72"/>
      <c r="C92" s="63" t="s">
        <v>3880</v>
      </c>
      <c r="D92" s="176" t="s">
        <v>3907</v>
      </c>
      <c r="E92" s="389">
        <v>132.68</v>
      </c>
      <c r="F92" s="14">
        <f t="shared" si="0"/>
        <v>79.608000000000004</v>
      </c>
      <c r="G92" s="396">
        <f t="shared" si="1"/>
        <v>0</v>
      </c>
      <c r="H92" s="397">
        <f t="shared" si="2"/>
        <v>6.7268760000000007</v>
      </c>
      <c r="I92" s="397">
        <f t="shared" si="3"/>
        <v>0</v>
      </c>
      <c r="J92" s="397">
        <f t="shared" si="4"/>
        <v>2.5474560000000004</v>
      </c>
      <c r="K92" s="397">
        <f t="shared" si="5"/>
        <v>0</v>
      </c>
      <c r="L92" s="397">
        <f t="shared" si="6"/>
        <v>2.0936904000000003</v>
      </c>
      <c r="M92" s="397">
        <f t="shared" si="7"/>
        <v>0</v>
      </c>
      <c r="N92" s="397">
        <f t="shared" si="8"/>
        <v>1.7434152000000001</v>
      </c>
      <c r="O92" s="397">
        <f t="shared" si="9"/>
        <v>0</v>
      </c>
      <c r="P92" s="525"/>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row>
    <row r="93" spans="1:256" ht="15">
      <c r="A93" s="128"/>
      <c r="B93" s="128"/>
      <c r="C93" s="129"/>
      <c r="D93" s="979" t="s">
        <v>65</v>
      </c>
      <c r="E93" s="972"/>
      <c r="F93" s="972"/>
      <c r="G93" s="6">
        <f t="array" ref="G93">SUM(G55:G92)+G40:G55:G92+G45:G55:G92+G50</f>
        <v>0</v>
      </c>
      <c r="H93" s="112" t="s">
        <v>66</v>
      </c>
      <c r="I93" s="6">
        <f t="array" ref="I93">SUM(I55:I92)+I40:I55:I92+I45:I55:I92+I50</f>
        <v>0</v>
      </c>
      <c r="J93" s="112" t="s">
        <v>67</v>
      </c>
      <c r="K93" s="6">
        <f t="array" ref="K93">SUM(K55:K92)+K40:K55:K92+K45:K55:K92+K50</f>
        <v>0</v>
      </c>
      <c r="L93" s="112" t="s">
        <v>68</v>
      </c>
      <c r="M93" s="6">
        <f t="array" ref="M93">SUM(M55:M92)+M40:M55:M92+M45:M55:M92+M50</f>
        <v>0</v>
      </c>
      <c r="N93" s="112" t="s">
        <v>69</v>
      </c>
      <c r="O93" s="6">
        <f t="array" ref="O93">SUM(O55:O92)+O40:O55:O92+O45:O55:O92+O50</f>
        <v>0</v>
      </c>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row>
    <row r="94" spans="1:256" ht="14.25">
      <c r="A94" s="128"/>
      <c r="B94" s="128"/>
      <c r="C94" s="134"/>
      <c r="D94" s="128"/>
      <c r="E94" s="128"/>
      <c r="F94" s="456"/>
      <c r="G94" s="37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row>
    <row r="95" spans="1:256">
      <c r="A95" s="128"/>
      <c r="B95" s="128"/>
      <c r="D95" s="128"/>
      <c r="E95" s="128"/>
      <c r="F95" s="456"/>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row>
    <row r="96" spans="1:256" ht="18">
      <c r="A96" s="383"/>
    </row>
    <row r="97" spans="1:1" ht="18">
      <c r="A97" s="383"/>
    </row>
    <row r="114" spans="3:3">
      <c r="C114" s="75"/>
    </row>
  </sheetData>
  <mergeCells count="59">
    <mergeCell ref="A28:D28"/>
    <mergeCell ref="E28:J28"/>
    <mergeCell ref="K28:O28"/>
    <mergeCell ref="A4:O4"/>
    <mergeCell ref="A5:O5"/>
    <mergeCell ref="H9:J9"/>
    <mergeCell ref="D23:D24"/>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I34:K36"/>
    <mergeCell ref="A35:D35"/>
    <mergeCell ref="A36:C36"/>
    <mergeCell ref="A37:C37"/>
    <mergeCell ref="A38:C38"/>
    <mergeCell ref="F38:H38"/>
    <mergeCell ref="I38:O38"/>
    <mergeCell ref="O40:O43"/>
    <mergeCell ref="A45:A48"/>
    <mergeCell ref="B45:B48"/>
    <mergeCell ref="G45:G48"/>
    <mergeCell ref="I45:I48"/>
    <mergeCell ref="K45:K48"/>
    <mergeCell ref="M45:M48"/>
    <mergeCell ref="O45:O48"/>
    <mergeCell ref="A40:A43"/>
    <mergeCell ref="B40:B43"/>
    <mergeCell ref="G40:G43"/>
    <mergeCell ref="I40:I43"/>
    <mergeCell ref="K40:K43"/>
    <mergeCell ref="M40:M43"/>
    <mergeCell ref="O50:O53"/>
    <mergeCell ref="A54:O54"/>
    <mergeCell ref="A55:A92"/>
    <mergeCell ref="D93:F93"/>
    <mergeCell ref="A50:A53"/>
    <mergeCell ref="B50:B53"/>
    <mergeCell ref="G50:G53"/>
    <mergeCell ref="I50:I53"/>
    <mergeCell ref="K50:K53"/>
    <mergeCell ref="M50:M53"/>
  </mergeCells>
  <pageMargins left="0.7" right="0.7" top="0.75" bottom="0.75" header="0.3" footer="0.3"/>
  <pageSetup scale="2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455D-FCF7-4EA2-BC0D-592E7C72E680}">
  <sheetPr>
    <tabColor rgb="FFFF0000"/>
  </sheetPr>
  <dimension ref="A1:N39"/>
  <sheetViews>
    <sheetView topLeftCell="A4" zoomScale="65" zoomScaleNormal="65" workbookViewId="0">
      <selection activeCell="K25" sqref="K25"/>
    </sheetView>
  </sheetViews>
  <sheetFormatPr defaultColWidth="8.85546875" defaultRowHeight="12.75"/>
  <cols>
    <col min="1" max="1" width="15.28515625" style="256" customWidth="1"/>
    <col min="2" max="2" width="9.85546875" style="256" customWidth="1"/>
    <col min="3" max="3" width="14" style="256" customWidth="1"/>
    <col min="4" max="4" width="33.140625" style="256" customWidth="1"/>
    <col min="5" max="5" width="23.7109375" style="256" bestFit="1" customWidth="1"/>
    <col min="6" max="6" width="21.5703125" style="333" customWidth="1"/>
    <col min="7" max="7" width="54.5703125" style="333" customWidth="1"/>
    <col min="8" max="8" width="22.42578125" style="256" customWidth="1"/>
    <col min="9" max="9" width="20.85546875" style="256" customWidth="1"/>
    <col min="10" max="10" width="23" style="256" customWidth="1"/>
    <col min="11" max="11" width="20.42578125" style="256" customWidth="1"/>
    <col min="12" max="12" width="23.28515625" style="256" customWidth="1"/>
    <col min="13" max="13" width="20.85546875" style="256" customWidth="1"/>
    <col min="14" max="14" width="23.5703125" style="256" customWidth="1"/>
    <col min="15" max="16384" width="8.85546875" style="256"/>
  </cols>
  <sheetData>
    <row r="1" spans="1:14" ht="13.5" thickBot="1">
      <c r="B1" s="257"/>
      <c r="C1" s="257"/>
      <c r="D1" s="258"/>
      <c r="E1" s="258"/>
      <c r="F1" s="259"/>
      <c r="G1" s="259"/>
      <c r="H1" s="259"/>
      <c r="I1" s="259"/>
      <c r="J1" s="259"/>
      <c r="K1" s="259"/>
      <c r="L1" s="259"/>
    </row>
    <row r="2" spans="1:14" ht="9" customHeight="1">
      <c r="A2" s="260"/>
      <c r="B2" s="261"/>
      <c r="C2" s="261"/>
      <c r="D2" s="262"/>
      <c r="E2" s="262"/>
      <c r="F2" s="263"/>
      <c r="G2" s="263"/>
      <c r="H2" s="263"/>
      <c r="I2" s="264"/>
      <c r="J2" s="264"/>
      <c r="K2" s="264"/>
      <c r="L2" s="264"/>
      <c r="M2" s="260"/>
      <c r="N2" s="260"/>
    </row>
    <row r="3" spans="1:14" ht="10.5" customHeight="1">
      <c r="B3" s="257"/>
      <c r="C3" s="257"/>
      <c r="D3" s="258"/>
      <c r="E3" s="258"/>
      <c r="F3" s="259"/>
      <c r="G3" s="259"/>
      <c r="H3" s="259"/>
      <c r="I3" s="265"/>
      <c r="J3" s="265"/>
      <c r="K3" s="265"/>
      <c r="L3" s="265"/>
    </row>
    <row r="4" spans="1:14" ht="34.5">
      <c r="A4" s="1227" t="s">
        <v>1029</v>
      </c>
      <c r="B4" s="1020"/>
      <c r="C4" s="1020"/>
      <c r="D4" s="1020"/>
      <c r="E4" s="1020"/>
      <c r="F4" s="1020"/>
      <c r="G4" s="1020"/>
      <c r="H4" s="1020"/>
      <c r="I4" s="1020"/>
      <c r="J4" s="1020"/>
      <c r="K4" s="1020"/>
      <c r="L4" s="1020"/>
      <c r="M4" s="1020"/>
      <c r="N4" s="1020"/>
    </row>
    <row r="5" spans="1:14" s="266" customFormat="1" ht="58.5" customHeight="1">
      <c r="A5" s="1228" t="s">
        <v>1030</v>
      </c>
      <c r="B5" s="1229"/>
      <c r="C5" s="1229"/>
      <c r="D5" s="1229"/>
      <c r="E5" s="1229"/>
      <c r="F5" s="1229"/>
      <c r="G5" s="1229"/>
      <c r="H5" s="1229"/>
      <c r="I5" s="1229"/>
      <c r="J5" s="1229"/>
      <c r="K5" s="1229"/>
      <c r="L5" s="1229"/>
      <c r="M5" s="1229"/>
      <c r="N5" s="1229"/>
    </row>
    <row r="6" spans="1:14" ht="9" customHeight="1" thickBot="1">
      <c r="A6" s="267"/>
      <c r="B6" s="553"/>
      <c r="C6" s="553"/>
      <c r="D6" s="554"/>
      <c r="E6" s="554"/>
      <c r="F6" s="555"/>
      <c r="G6" s="555"/>
      <c r="H6" s="555"/>
      <c r="I6" s="506"/>
      <c r="J6" s="506"/>
      <c r="K6" s="506"/>
      <c r="L6" s="506"/>
      <c r="M6" s="267"/>
      <c r="N6" s="267"/>
    </row>
    <row r="9" spans="1:14" s="265" customFormat="1" ht="14.25">
      <c r="B9" s="268"/>
      <c r="C9" s="268"/>
      <c r="D9" s="269"/>
      <c r="E9" s="269"/>
      <c r="F9" s="269"/>
      <c r="G9" s="269"/>
      <c r="H9" s="269"/>
      <c r="I9" s="269"/>
      <c r="J9" s="269"/>
      <c r="K9" s="269"/>
      <c r="L9" s="269"/>
    </row>
    <row r="10" spans="1:14" s="265" customFormat="1" ht="18">
      <c r="F10" s="507"/>
      <c r="G10" s="1230" t="s">
        <v>0</v>
      </c>
      <c r="H10" s="1230"/>
      <c r="I10" s="1230"/>
    </row>
    <row r="11" spans="1:14" s="265" customFormat="1" ht="18">
      <c r="F11" s="519"/>
      <c r="G11" s="284" t="s">
        <v>1</v>
      </c>
      <c r="H11" s="802" t="s">
        <v>1031</v>
      </c>
      <c r="I11" s="803"/>
    </row>
    <row r="12" spans="1:14" s="265" customFormat="1" ht="18">
      <c r="F12" s="519"/>
      <c r="G12" s="284" t="s">
        <v>3</v>
      </c>
      <c r="H12" s="802" t="s">
        <v>1032</v>
      </c>
      <c r="I12" s="803"/>
      <c r="K12" s="282"/>
    </row>
    <row r="13" spans="1:14" s="265" customFormat="1" ht="18">
      <c r="F13" s="804"/>
      <c r="G13" s="284" t="s">
        <v>7</v>
      </c>
      <c r="H13" s="805">
        <v>500</v>
      </c>
      <c r="I13" s="806"/>
      <c r="K13" s="556"/>
      <c r="L13" s="547"/>
      <c r="M13" s="256"/>
      <c r="N13" s="256"/>
    </row>
    <row r="14" spans="1:14" s="265" customFormat="1" ht="18">
      <c r="F14" s="804"/>
      <c r="G14" s="284" t="s">
        <v>8</v>
      </c>
      <c r="H14" s="802" t="s">
        <v>1033</v>
      </c>
      <c r="I14" s="803"/>
      <c r="L14" s="547"/>
      <c r="M14" s="256"/>
      <c r="N14" s="256"/>
    </row>
    <row r="15" spans="1:14" s="265" customFormat="1" ht="18">
      <c r="A15" s="799"/>
      <c r="B15" s="256"/>
      <c r="C15" s="256"/>
      <c r="D15" s="256"/>
      <c r="E15" s="256"/>
      <c r="F15" s="315"/>
      <c r="G15" s="284" t="s">
        <v>10</v>
      </c>
      <c r="H15" s="802" t="s">
        <v>11</v>
      </c>
      <c r="I15" s="803"/>
      <c r="L15" s="547"/>
      <c r="M15" s="256"/>
      <c r="N15" s="256"/>
    </row>
    <row r="16" spans="1:14" s="265" customFormat="1" ht="18">
      <c r="A16" s="547"/>
      <c r="B16" s="256"/>
      <c r="C16" s="256"/>
      <c r="E16" s="256"/>
      <c r="F16" s="315"/>
      <c r="G16" s="284" t="s">
        <v>185</v>
      </c>
      <c r="H16" s="802" t="s">
        <v>1034</v>
      </c>
      <c r="I16" s="803"/>
      <c r="L16" s="547"/>
      <c r="M16" s="256"/>
      <c r="N16" s="256"/>
    </row>
    <row r="17" spans="1:14" s="265" customFormat="1" ht="18">
      <c r="F17" s="804"/>
      <c r="G17" s="284" t="s">
        <v>18</v>
      </c>
      <c r="H17" s="802" t="s">
        <v>1035</v>
      </c>
      <c r="I17" s="803"/>
    </row>
    <row r="18" spans="1:14" s="265" customFormat="1" ht="18">
      <c r="F18" s="804"/>
      <c r="G18" s="284" t="s">
        <v>22</v>
      </c>
      <c r="H18" s="802" t="s">
        <v>1036</v>
      </c>
      <c r="I18" s="803"/>
    </row>
    <row r="19" spans="1:14" s="265" customFormat="1" ht="18">
      <c r="F19" s="269"/>
      <c r="G19" s="284" t="s">
        <v>24</v>
      </c>
      <c r="H19" s="802" t="s">
        <v>1037</v>
      </c>
      <c r="I19" s="803"/>
      <c r="K19" s="282"/>
    </row>
    <row r="20" spans="1:14" s="265" customFormat="1" ht="15.75" customHeight="1">
      <c r="D20" s="277"/>
      <c r="E20" s="277"/>
      <c r="F20" s="269"/>
      <c r="G20" s="284" t="s">
        <v>26</v>
      </c>
      <c r="H20" s="802" t="s">
        <v>1038</v>
      </c>
      <c r="I20" s="803"/>
    </row>
    <row r="21" spans="1:14" s="265" customFormat="1" ht="18">
      <c r="D21" s="277"/>
      <c r="E21" s="277"/>
      <c r="F21" s="269"/>
      <c r="G21" s="284" t="s">
        <v>28</v>
      </c>
      <c r="H21" s="802" t="s">
        <v>1039</v>
      </c>
      <c r="I21" s="803"/>
    </row>
    <row r="22" spans="1:14" s="265" customFormat="1" ht="18">
      <c r="D22" s="277"/>
      <c r="E22" s="277"/>
      <c r="F22" s="269"/>
      <c r="G22" s="284"/>
      <c r="H22" s="802"/>
      <c r="I22" s="803"/>
    </row>
    <row r="23" spans="1:14" s="265" customFormat="1" ht="19.5" customHeight="1" thickBot="1">
      <c r="A23" s="1284" t="s">
        <v>30</v>
      </c>
      <c r="B23" s="1285"/>
      <c r="C23" s="1285"/>
      <c r="D23" s="1285"/>
      <c r="E23" s="1285"/>
      <c r="F23" s="1285"/>
      <c r="G23" s="1285"/>
      <c r="H23" s="1285"/>
      <c r="I23" s="1285"/>
      <c r="J23" s="1285"/>
      <c r="K23" s="1285"/>
      <c r="L23" s="1285"/>
      <c r="M23" s="1285"/>
      <c r="N23" s="1285"/>
    </row>
    <row r="24" spans="1:14" s="265" customFormat="1" ht="19.5" customHeight="1">
      <c r="A24" s="1286" t="s">
        <v>1020</v>
      </c>
      <c r="B24" s="1287"/>
      <c r="C24" s="1287"/>
      <c r="D24" s="1287"/>
      <c r="E24" s="1287"/>
      <c r="F24" s="1287"/>
      <c r="G24" s="1287"/>
      <c r="H24" s="875"/>
      <c r="I24" s="875"/>
      <c r="J24" s="875"/>
      <c r="K24" s="875"/>
      <c r="L24" s="875"/>
      <c r="M24" s="875"/>
      <c r="N24" s="875"/>
    </row>
    <row r="25" spans="1:14" s="265" customFormat="1" ht="19.5" customHeight="1">
      <c r="A25" s="1219" t="s">
        <v>845</v>
      </c>
      <c r="B25" s="1220"/>
      <c r="C25" s="1220"/>
      <c r="D25" s="1220"/>
      <c r="E25" s="1220"/>
      <c r="F25" s="1220"/>
      <c r="G25" s="1220"/>
      <c r="H25" s="1255">
        <v>58</v>
      </c>
      <c r="I25" s="1255"/>
      <c r="J25" s="876"/>
      <c r="K25" s="876"/>
      <c r="L25" s="876"/>
      <c r="M25" s="876"/>
      <c r="N25" s="876"/>
    </row>
    <row r="26" spans="1:14" s="265" customFormat="1" ht="19.5" customHeight="1" thickBot="1">
      <c r="A26" s="1221" t="s">
        <v>846</v>
      </c>
      <c r="B26" s="1222"/>
      <c r="C26" s="1222"/>
      <c r="D26" s="1222"/>
      <c r="E26" s="1222"/>
      <c r="F26" s="1222"/>
      <c r="G26" s="1222"/>
      <c r="H26" s="1222"/>
      <c r="I26" s="1222"/>
      <c r="J26" s="1222"/>
      <c r="K26" s="1222"/>
      <c r="L26" s="1222"/>
      <c r="M26" s="1222"/>
      <c r="N26" s="1222"/>
    </row>
    <row r="27" spans="1:14" s="265" customFormat="1" ht="18" customHeight="1" thickBot="1">
      <c r="C27" s="277"/>
      <c r="D27" s="283"/>
      <c r="E27" s="284"/>
      <c r="F27" s="256"/>
      <c r="G27" s="1224"/>
      <c r="H27" s="1088"/>
      <c r="I27" s="287"/>
      <c r="J27" s="288"/>
    </row>
    <row r="28" spans="1:14" s="265" customFormat="1" ht="15.75" customHeight="1" thickBot="1">
      <c r="E28" s="1063" t="s">
        <v>43</v>
      </c>
      <c r="F28" s="1101"/>
      <c r="G28" s="1003"/>
      <c r="H28" s="1003"/>
      <c r="I28" s="1003"/>
      <c r="J28" s="1025"/>
    </row>
    <row r="29" spans="1:14" s="813" customFormat="1" ht="59.25" thickBot="1">
      <c r="D29" s="814" t="s">
        <v>549</v>
      </c>
      <c r="E29" s="814" t="s">
        <v>46</v>
      </c>
      <c r="F29" s="814" t="s">
        <v>47</v>
      </c>
      <c r="G29" s="814" t="s">
        <v>48</v>
      </c>
      <c r="H29" s="814" t="s">
        <v>49</v>
      </c>
      <c r="I29" s="814" t="s">
        <v>1040</v>
      </c>
      <c r="J29" s="814" t="s">
        <v>51</v>
      </c>
    </row>
    <row r="30" spans="1:14" s="815" customFormat="1" ht="91.9" customHeight="1" thickBot="1">
      <c r="D30" s="816">
        <v>49</v>
      </c>
      <c r="E30" s="816"/>
      <c r="F30" s="207" t="s">
        <v>1041</v>
      </c>
      <c r="G30" s="853" t="s">
        <v>1029</v>
      </c>
      <c r="H30" s="818">
        <v>378.35</v>
      </c>
      <c r="I30" s="819">
        <f>SUM(H30:H30)*(1-20%)+H25</f>
        <v>360.68</v>
      </c>
      <c r="J30" s="819">
        <f>I30*E30</f>
        <v>0</v>
      </c>
      <c r="K30" s="877"/>
    </row>
    <row r="31" spans="1:14" s="808" customFormat="1" ht="19.5" thickBot="1">
      <c r="A31" s="208"/>
      <c r="B31" s="209"/>
      <c r="C31" s="209"/>
      <c r="D31" s="1281" t="s">
        <v>59</v>
      </c>
      <c r="E31" s="1282"/>
      <c r="F31" s="1282"/>
      <c r="G31" s="1282"/>
      <c r="H31" s="1282"/>
      <c r="I31" s="1282"/>
      <c r="J31" s="1283"/>
    </row>
    <row r="32" spans="1:14" s="856" customFormat="1" ht="21" thickBot="1">
      <c r="A32" s="436"/>
      <c r="B32" s="437"/>
      <c r="C32" s="437"/>
      <c r="D32" s="878"/>
      <c r="E32" s="879"/>
      <c r="F32" s="438" t="s">
        <v>1042</v>
      </c>
      <c r="G32" s="439" t="s">
        <v>1043</v>
      </c>
      <c r="H32" s="440">
        <v>82.463917525773198</v>
      </c>
      <c r="I32" s="441">
        <f>H32*(1-20%)</f>
        <v>65.971134020618564</v>
      </c>
      <c r="J32" s="441">
        <f>I32*E32</f>
        <v>0</v>
      </c>
      <c r="K32" s="880">
        <f>H32/0.97</f>
        <v>85.014347964714645</v>
      </c>
    </row>
    <row r="33" spans="2:12" ht="23.25">
      <c r="C33" s="269"/>
      <c r="D33" s="829"/>
      <c r="E33" s="1243" t="s">
        <v>65</v>
      </c>
      <c r="F33" s="1020"/>
      <c r="G33" s="1020"/>
      <c r="H33" s="1020"/>
      <c r="I33" s="1020"/>
      <c r="J33" s="830">
        <f>SUM(J32:J32)+J30</f>
        <v>0</v>
      </c>
    </row>
    <row r="34" spans="2:12" ht="15.75">
      <c r="C34" s="269"/>
      <c r="D34" s="283"/>
      <c r="E34" s="832"/>
      <c r="F34" s="832"/>
    </row>
    <row r="35" spans="2:12" ht="15.75">
      <c r="C35" s="269"/>
      <c r="D35" s="283"/>
      <c r="E35" s="832"/>
      <c r="F35" s="832"/>
    </row>
    <row r="39" spans="2:12">
      <c r="B39" s="258"/>
      <c r="C39" s="258"/>
      <c r="L39" s="859">
        <f>F39*0.0256</f>
        <v>0</v>
      </c>
    </row>
  </sheetData>
  <mergeCells count="12">
    <mergeCell ref="A25:G25"/>
    <mergeCell ref="H25:I25"/>
    <mergeCell ref="A4:N4"/>
    <mergeCell ref="A5:N5"/>
    <mergeCell ref="G10:I10"/>
    <mergeCell ref="A23:N23"/>
    <mergeCell ref="A24:G24"/>
    <mergeCell ref="A26:N26"/>
    <mergeCell ref="G27:H27"/>
    <mergeCell ref="E28:J28"/>
    <mergeCell ref="D31:J31"/>
    <mergeCell ref="E33:I33"/>
  </mergeCells>
  <pageMargins left="0.52" right="0.19" top="0.47" bottom="0.43" header="0.3" footer="0.22"/>
  <pageSetup scale="41" firstPageNumber="6" orientation="landscape" useFirstPageNumber="1" r:id="rId1"/>
  <headerFooter alignWithMargins="0">
    <oddHeader>&amp;L&amp;"Arial,Bold"VITA CONTRACT #: VA-191121-VBS</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1E25-3CCE-4ADD-8638-D0D090A2EF9C}">
  <sheetPr>
    <tabColor indexed="62"/>
  </sheetPr>
  <dimension ref="A1:S113"/>
  <sheetViews>
    <sheetView topLeftCell="A19" zoomScale="90" zoomScaleNormal="90" workbookViewId="0">
      <selection activeCell="D39" sqref="D39"/>
    </sheetView>
  </sheetViews>
  <sheetFormatPr defaultColWidth="8.85546875" defaultRowHeight="12.75"/>
  <cols>
    <col min="1" max="1" width="15" style="256" customWidth="1"/>
    <col min="2" max="2" width="10" style="256" customWidth="1"/>
    <col min="3" max="3" width="20.7109375" style="256" customWidth="1"/>
    <col min="4" max="4" width="44.42578125" style="256" customWidth="1"/>
    <col min="5" max="5" width="17.42578125" style="256" customWidth="1"/>
    <col min="6" max="6" width="15.5703125" style="333" customWidth="1"/>
    <col min="7" max="7" width="23.42578125" style="333" customWidth="1"/>
    <col min="8" max="8" width="28.28515625" style="256" bestFit="1" customWidth="1"/>
    <col min="9" max="9" width="19" style="256" customWidth="1"/>
    <col min="10" max="10" width="25" style="256" bestFit="1" customWidth="1"/>
    <col min="11" max="11" width="19" style="256" customWidth="1"/>
    <col min="12" max="12" width="25" style="256" bestFit="1" customWidth="1"/>
    <col min="13" max="13" width="18.42578125" style="256" customWidth="1"/>
    <col min="14" max="14" width="25" style="256" bestFit="1" customWidth="1"/>
    <col min="15" max="15" width="19.28515625" style="256" customWidth="1"/>
    <col min="16" max="16" width="25" style="256" bestFit="1" customWidth="1"/>
    <col min="17" max="17" width="19.28515625" style="256" customWidth="1"/>
    <col min="18" max="18" width="10.28515625" style="256" bestFit="1" customWidth="1"/>
    <col min="19"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1044</v>
      </c>
      <c r="B4" s="1020"/>
      <c r="C4" s="1020"/>
      <c r="D4" s="1020"/>
      <c r="E4" s="1020"/>
      <c r="F4" s="1020"/>
      <c r="G4" s="1020"/>
      <c r="H4" s="1020"/>
      <c r="I4" s="1020"/>
      <c r="J4" s="1020"/>
      <c r="K4" s="1020"/>
      <c r="L4" s="1020"/>
      <c r="M4" s="1020"/>
      <c r="N4" s="1020"/>
      <c r="O4" s="1020"/>
    </row>
    <row r="5" spans="1:18" s="266" customFormat="1" ht="41.25" customHeight="1">
      <c r="A5" s="1188" t="s">
        <v>1045</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F8" s="446"/>
      <c r="G8" s="446"/>
      <c r="H8" s="1046" t="s">
        <v>0</v>
      </c>
      <c r="I8" s="1046"/>
      <c r="J8" s="1046"/>
      <c r="K8" s="507"/>
    </row>
    <row r="9" spans="1:18" s="265" customFormat="1" ht="14.25">
      <c r="H9" s="275" t="s">
        <v>1</v>
      </c>
      <c r="I9" s="282" t="s">
        <v>1046</v>
      </c>
      <c r="J9" s="282"/>
      <c r="L9" s="282"/>
    </row>
    <row r="10" spans="1:18" s="265" customFormat="1">
      <c r="H10" s="270" t="s">
        <v>1047</v>
      </c>
      <c r="I10" s="282" t="s">
        <v>1048</v>
      </c>
      <c r="J10" s="282"/>
      <c r="L10" s="282"/>
    </row>
    <row r="11" spans="1:18" s="265" customFormat="1">
      <c r="F11" s="446"/>
      <c r="G11" s="1295" t="s">
        <v>265</v>
      </c>
      <c r="H11" s="1020"/>
      <c r="I11" s="282" t="s">
        <v>1049</v>
      </c>
      <c r="J11" s="282"/>
      <c r="K11" s="273"/>
      <c r="L11" s="282"/>
    </row>
    <row r="12" spans="1:18" s="265" customFormat="1">
      <c r="F12" s="446"/>
      <c r="G12" s="446"/>
      <c r="H12" s="270" t="s">
        <v>7</v>
      </c>
      <c r="I12" s="282" t="s">
        <v>1050</v>
      </c>
      <c r="J12" s="282"/>
      <c r="L12" s="282"/>
    </row>
    <row r="13" spans="1:18" s="265" customFormat="1">
      <c r="F13" s="446"/>
      <c r="G13" s="446"/>
      <c r="H13" s="270" t="s">
        <v>8</v>
      </c>
      <c r="I13" s="282" t="s">
        <v>1051</v>
      </c>
      <c r="J13" s="282"/>
      <c r="L13" s="282"/>
    </row>
    <row r="14" spans="1:18" s="265" customFormat="1">
      <c r="B14" s="508"/>
      <c r="C14" s="508"/>
      <c r="F14" s="446"/>
      <c r="G14" s="446"/>
      <c r="H14" s="270" t="s">
        <v>10</v>
      </c>
      <c r="I14" s="282" t="s">
        <v>1052</v>
      </c>
      <c r="J14" s="282"/>
      <c r="L14" s="282"/>
    </row>
    <row r="15" spans="1:18" s="265" customFormat="1">
      <c r="F15" s="302"/>
      <c r="G15" s="302"/>
      <c r="H15" s="270" t="s">
        <v>183</v>
      </c>
      <c r="I15" s="282" t="s">
        <v>1053</v>
      </c>
      <c r="J15" s="282"/>
      <c r="L15" s="282"/>
    </row>
    <row r="16" spans="1:18" s="265" customFormat="1">
      <c r="F16" s="446"/>
      <c r="G16" s="446"/>
      <c r="H16" s="270" t="s">
        <v>185</v>
      </c>
      <c r="I16" s="282" t="s">
        <v>1054</v>
      </c>
      <c r="J16" s="282"/>
      <c r="L16" s="282"/>
    </row>
    <row r="17" spans="1:19" s="265" customFormat="1">
      <c r="F17" s="446"/>
      <c r="G17" s="446"/>
      <c r="H17" s="270" t="s">
        <v>14</v>
      </c>
      <c r="I17" s="282" t="s">
        <v>1055</v>
      </c>
      <c r="J17" s="282"/>
      <c r="L17" s="282"/>
    </row>
    <row r="18" spans="1:19" s="265" customFormat="1">
      <c r="I18" s="265" t="s">
        <v>1056</v>
      </c>
    </row>
    <row r="19" spans="1:19" s="265" customFormat="1">
      <c r="I19" s="265" t="s">
        <v>1057</v>
      </c>
    </row>
    <row r="20" spans="1:19" s="265" customFormat="1">
      <c r="H20" s="270" t="s">
        <v>16</v>
      </c>
      <c r="I20" s="265" t="s">
        <v>1058</v>
      </c>
    </row>
    <row r="21" spans="1:19" s="265" customFormat="1">
      <c r="H21" s="270" t="s">
        <v>18</v>
      </c>
      <c r="I21" s="265" t="s">
        <v>1059</v>
      </c>
    </row>
    <row r="22" spans="1:19" s="265" customFormat="1" ht="14.25">
      <c r="D22" s="1047"/>
      <c r="E22" s="277"/>
      <c r="H22" s="270" t="s">
        <v>20</v>
      </c>
      <c r="I22" s="265" t="s">
        <v>1060</v>
      </c>
    </row>
    <row r="23" spans="1:19" s="265" customFormat="1" ht="14.25">
      <c r="D23" s="1047"/>
      <c r="E23" s="277"/>
      <c r="H23" s="270" t="s">
        <v>22</v>
      </c>
      <c r="I23" s="265" t="s">
        <v>1061</v>
      </c>
    </row>
    <row r="24" spans="1:19" s="265" customFormat="1">
      <c r="F24" s="446"/>
      <c r="G24" s="446"/>
      <c r="H24" s="270" t="s">
        <v>24</v>
      </c>
      <c r="I24" s="265" t="s">
        <v>1062</v>
      </c>
    </row>
    <row r="25" spans="1:19" s="265" customFormat="1">
      <c r="F25" s="446"/>
      <c r="G25" s="446"/>
      <c r="H25" s="270" t="s">
        <v>26</v>
      </c>
      <c r="I25" s="282" t="s">
        <v>1063</v>
      </c>
      <c r="J25" s="282"/>
      <c r="L25" s="282"/>
    </row>
    <row r="26" spans="1:19" s="265" customFormat="1" ht="12" customHeight="1">
      <c r="F26" s="446"/>
      <c r="G26" s="446"/>
      <c r="H26" s="270" t="s">
        <v>28</v>
      </c>
      <c r="I26" s="282" t="s">
        <v>1064</v>
      </c>
      <c r="J26" s="282"/>
      <c r="L26" s="282"/>
    </row>
    <row r="27" spans="1:19" s="265" customFormat="1" ht="15.6" customHeight="1" thickBot="1">
      <c r="A27" s="1179" t="s">
        <v>30</v>
      </c>
      <c r="B27" s="1179"/>
      <c r="C27" s="1179"/>
      <c r="D27" s="1179"/>
      <c r="E27" s="1179"/>
      <c r="F27" s="1179"/>
      <c r="G27" s="1179"/>
      <c r="H27" s="1179"/>
      <c r="I27" s="1179"/>
      <c r="J27" s="1179"/>
      <c r="K27" s="1179"/>
      <c r="L27" s="1179"/>
      <c r="M27" s="1179"/>
      <c r="N27" s="1179"/>
      <c r="O27" s="1179"/>
      <c r="P27" s="1179"/>
      <c r="Q27" s="1179"/>
      <c r="R27" s="256"/>
      <c r="S27" s="256"/>
    </row>
    <row r="28" spans="1:19" s="265" customFormat="1" ht="30.4" customHeight="1" thickBot="1">
      <c r="A28" s="1290" t="s">
        <v>1065</v>
      </c>
      <c r="B28" s="1291"/>
      <c r="C28" s="1291"/>
      <c r="D28" s="1291"/>
      <c r="E28" s="1291"/>
      <c r="F28" s="1291"/>
      <c r="G28" s="1291"/>
      <c r="H28" s="1291"/>
      <c r="I28" s="1291"/>
      <c r="J28" s="1291"/>
      <c r="K28" s="1291"/>
      <c r="L28" s="1291"/>
      <c r="M28" s="1291"/>
      <c r="N28" s="1291"/>
      <c r="O28" s="1291"/>
      <c r="P28" s="1291"/>
      <c r="Q28" s="1292"/>
      <c r="R28" s="429"/>
      <c r="S28" s="429"/>
    </row>
    <row r="29" spans="1:19" s="265" customFormat="1" ht="13.9" customHeight="1">
      <c r="A29" s="429"/>
      <c r="B29" s="429"/>
      <c r="C29" s="429"/>
      <c r="D29" s="429"/>
      <c r="E29" s="429"/>
      <c r="F29" s="429"/>
      <c r="G29" s="429"/>
      <c r="H29" s="429"/>
      <c r="I29" s="429"/>
      <c r="J29" s="429"/>
      <c r="K29" s="429"/>
      <c r="L29" s="429"/>
      <c r="M29" s="429"/>
      <c r="N29" s="429"/>
      <c r="O29" s="429"/>
      <c r="P29" s="429"/>
      <c r="Q29" s="429"/>
      <c r="R29" s="429"/>
      <c r="S29" s="429"/>
    </row>
    <row r="30" spans="1:19" s="265" customFormat="1" ht="15" thickBot="1">
      <c r="D30" s="277"/>
      <c r="E30" s="277"/>
      <c r="F30" s="283"/>
      <c r="G30" s="283"/>
      <c r="I30" s="288"/>
      <c r="J30" s="288"/>
      <c r="K30" s="288"/>
      <c r="L30" s="288"/>
    </row>
    <row r="31" spans="1:19" s="265" customFormat="1" ht="13.5" thickBot="1">
      <c r="F31" s="1021" t="s">
        <v>43</v>
      </c>
      <c r="G31" s="1022"/>
      <c r="H31" s="1023" t="s">
        <v>44</v>
      </c>
      <c r="I31" s="1024"/>
      <c r="J31" s="1024"/>
      <c r="K31" s="1024"/>
      <c r="L31" s="1024"/>
      <c r="M31" s="1024"/>
      <c r="N31" s="1024"/>
      <c r="O31" s="1024"/>
      <c r="P31" s="1024"/>
      <c r="Q31" s="1198"/>
    </row>
    <row r="32" spans="1:19" s="265" customFormat="1" ht="57.75" customHeight="1" thickBot="1">
      <c r="A32" s="188" t="s">
        <v>45</v>
      </c>
      <c r="B32" s="188" t="s">
        <v>46</v>
      </c>
      <c r="C32" s="189" t="s">
        <v>47</v>
      </c>
      <c r="D32" s="189" t="s">
        <v>48</v>
      </c>
      <c r="E32" s="189" t="s">
        <v>49</v>
      </c>
      <c r="F32" s="189" t="s">
        <v>50</v>
      </c>
      <c r="G32" s="188" t="s">
        <v>51</v>
      </c>
      <c r="H32" s="189" t="s">
        <v>53</v>
      </c>
      <c r="I32" s="188" t="s">
        <v>51</v>
      </c>
      <c r="J32" s="189" t="s">
        <v>54</v>
      </c>
      <c r="K32" s="188" t="s">
        <v>51</v>
      </c>
      <c r="L32" s="189" t="s">
        <v>55</v>
      </c>
      <c r="M32" s="188" t="s">
        <v>51</v>
      </c>
      <c r="N32" s="189" t="s">
        <v>847</v>
      </c>
      <c r="O32" s="188" t="s">
        <v>51</v>
      </c>
      <c r="P32" s="189" t="s">
        <v>848</v>
      </c>
      <c r="Q32" s="188" t="s">
        <v>51</v>
      </c>
    </row>
    <row r="33" spans="1:18" s="265" customFormat="1" ht="38.25" customHeight="1" thickBot="1">
      <c r="A33" s="1270" t="s">
        <v>1066</v>
      </c>
      <c r="B33" s="1271"/>
      <c r="C33" s="192" t="s">
        <v>1067</v>
      </c>
      <c r="D33" s="193" t="s">
        <v>1068</v>
      </c>
      <c r="E33" s="194">
        <v>49966</v>
      </c>
      <c r="F33" s="510">
        <f>SUM(E33:E34)*(1-65%)</f>
        <v>17578.75</v>
      </c>
      <c r="G33" s="1123">
        <f>F33*B33</f>
        <v>0</v>
      </c>
      <c r="H33" s="510">
        <f>F33*0.03137</f>
        <v>551.44538750000004</v>
      </c>
      <c r="I33" s="1123">
        <f>H33*B33</f>
        <v>0</v>
      </c>
      <c r="J33" s="510">
        <f>F33*0.0274</f>
        <v>481.65775000000002</v>
      </c>
      <c r="K33" s="1123">
        <f>J33*B33</f>
        <v>0</v>
      </c>
      <c r="L33" s="30">
        <f>F33*0.0228</f>
        <v>400.7955</v>
      </c>
      <c r="M33" s="1123">
        <f>L33*B33</f>
        <v>0</v>
      </c>
      <c r="N33" s="30">
        <f>F33*0.0204</f>
        <v>358.60650000000004</v>
      </c>
      <c r="O33" s="1123">
        <f>N33*B33</f>
        <v>0</v>
      </c>
      <c r="P33" s="30">
        <f>F33*0.0185</f>
        <v>325.20687499999997</v>
      </c>
      <c r="Q33" s="1123">
        <f>P33*B33</f>
        <v>0</v>
      </c>
    </row>
    <row r="34" spans="1:18" s="265" customFormat="1" ht="12.75" customHeight="1" thickBot="1">
      <c r="A34" s="1293"/>
      <c r="B34" s="1294"/>
      <c r="C34" s="709" t="s">
        <v>424</v>
      </c>
      <c r="D34" s="199" t="s">
        <v>57</v>
      </c>
      <c r="E34" s="512">
        <v>259</v>
      </c>
      <c r="F34" s="710" t="s">
        <v>35</v>
      </c>
      <c r="G34" s="1272"/>
      <c r="H34" s="513" t="s">
        <v>35</v>
      </c>
      <c r="I34" s="1272"/>
      <c r="J34" s="513" t="s">
        <v>35</v>
      </c>
      <c r="K34" s="1272"/>
      <c r="L34" s="513" t="s">
        <v>35</v>
      </c>
      <c r="M34" s="1272"/>
      <c r="N34" s="513" t="s">
        <v>35</v>
      </c>
      <c r="O34" s="1272"/>
      <c r="P34" s="513" t="s">
        <v>35</v>
      </c>
      <c r="Q34" s="1124"/>
    </row>
    <row r="35" spans="1:18" s="198" customFormat="1" ht="15.75" customHeight="1" thickBot="1">
      <c r="A35" s="1002" t="s">
        <v>59</v>
      </c>
      <c r="B35" s="1277"/>
      <c r="C35" s="1277"/>
      <c r="D35" s="1277"/>
      <c r="E35" s="1277"/>
      <c r="F35" s="1277"/>
      <c r="G35" s="1277"/>
      <c r="H35" s="1277"/>
      <c r="I35" s="1277"/>
      <c r="J35" s="1277"/>
      <c r="K35" s="1277"/>
      <c r="L35" s="1277"/>
      <c r="M35" s="1277"/>
      <c r="N35" s="1277"/>
      <c r="O35" s="1277"/>
      <c r="P35" s="1277"/>
      <c r="Q35" s="1278"/>
    </row>
    <row r="36" spans="1:18" s="198" customFormat="1" ht="15" thickBot="1">
      <c r="A36" s="1288"/>
      <c r="B36" s="431"/>
      <c r="C36" s="881" t="s">
        <v>105</v>
      </c>
      <c r="D36" s="882" t="s">
        <v>325</v>
      </c>
      <c r="E36" s="883">
        <v>399</v>
      </c>
      <c r="F36" s="40">
        <f t="shared" ref="F36:F92" si="0">E36*(1-45%)</f>
        <v>219.45000000000002</v>
      </c>
      <c r="G36" s="40">
        <f t="shared" ref="G36:G92" si="1">F36*B36</f>
        <v>0</v>
      </c>
      <c r="H36" s="39">
        <f t="shared" ref="H36:H92" si="2">F36*0.03137</f>
        <v>6.8841465000000008</v>
      </c>
      <c r="I36" s="40">
        <f t="shared" ref="I36:I92" si="3">H36*B36</f>
        <v>0</v>
      </c>
      <c r="J36" s="39">
        <f t="shared" ref="J36:J92" si="4">F36*0.0274</f>
        <v>6.0129300000000008</v>
      </c>
      <c r="K36" s="40">
        <f t="shared" ref="K36:K92" si="5">J36*B36</f>
        <v>0</v>
      </c>
      <c r="L36" s="39">
        <f t="shared" ref="L36:L92" si="6">F36*0.0228</f>
        <v>5.0034600000000005</v>
      </c>
      <c r="M36" s="39">
        <f t="shared" ref="M36:M92" si="7">L36*B36</f>
        <v>0</v>
      </c>
      <c r="N36" s="39">
        <f t="shared" ref="N36:N92" si="8">F36*0.0204</f>
        <v>4.4767800000000006</v>
      </c>
      <c r="O36" s="39">
        <f t="shared" ref="O36:O92" si="9">N36*B36</f>
        <v>0</v>
      </c>
      <c r="P36" s="39">
        <f t="shared" ref="P36:P92" si="10">F36*0.0185</f>
        <v>4.059825</v>
      </c>
      <c r="Q36" s="884">
        <f t="shared" ref="Q36:Q92" si="11">P36*B36</f>
        <v>0</v>
      </c>
      <c r="R36" s="528"/>
    </row>
    <row r="37" spans="1:18" s="198" customFormat="1" ht="15" thickBot="1">
      <c r="A37" s="1288"/>
      <c r="B37" s="416"/>
      <c r="C37" s="614" t="s">
        <v>1089</v>
      </c>
      <c r="D37" s="885" t="s">
        <v>1090</v>
      </c>
      <c r="E37" s="612">
        <v>3606.97</v>
      </c>
      <c r="F37" s="41">
        <f t="shared" si="0"/>
        <v>1983.8335</v>
      </c>
      <c r="G37" s="41">
        <f t="shared" si="1"/>
        <v>0</v>
      </c>
      <c r="H37" s="39">
        <f t="shared" si="2"/>
        <v>62.232856895000005</v>
      </c>
      <c r="I37" s="40">
        <f t="shared" si="3"/>
        <v>0</v>
      </c>
      <c r="J37" s="39">
        <f t="shared" si="4"/>
        <v>54.357037900000002</v>
      </c>
      <c r="K37" s="40">
        <f t="shared" si="5"/>
        <v>0</v>
      </c>
      <c r="L37" s="39">
        <f t="shared" si="6"/>
        <v>45.231403800000002</v>
      </c>
      <c r="M37" s="39">
        <f t="shared" si="7"/>
        <v>0</v>
      </c>
      <c r="N37" s="39">
        <f t="shared" si="8"/>
        <v>40.470203400000003</v>
      </c>
      <c r="O37" s="39">
        <f t="shared" si="9"/>
        <v>0</v>
      </c>
      <c r="P37" s="39">
        <f t="shared" si="10"/>
        <v>36.700919749999997</v>
      </c>
      <c r="Q37" s="884">
        <f t="shared" si="11"/>
        <v>0</v>
      </c>
      <c r="R37" s="528"/>
    </row>
    <row r="38" spans="1:18" s="198" customFormat="1" ht="15" thickBot="1">
      <c r="A38" s="1288"/>
      <c r="B38" s="416"/>
      <c r="C38" s="614" t="s">
        <v>1069</v>
      </c>
      <c r="D38" s="885" t="s">
        <v>1070</v>
      </c>
      <c r="E38" s="612">
        <v>1701.26</v>
      </c>
      <c r="F38" s="41">
        <f t="shared" si="0"/>
        <v>935.6930000000001</v>
      </c>
      <c r="G38" s="41">
        <f t="shared" si="1"/>
        <v>0</v>
      </c>
      <c r="H38" s="39">
        <f t="shared" si="2"/>
        <v>29.352689410000004</v>
      </c>
      <c r="I38" s="40">
        <f t="shared" si="3"/>
        <v>0</v>
      </c>
      <c r="J38" s="39">
        <f t="shared" si="4"/>
        <v>25.637988200000002</v>
      </c>
      <c r="K38" s="40">
        <f t="shared" si="5"/>
        <v>0</v>
      </c>
      <c r="L38" s="39">
        <f t="shared" si="6"/>
        <v>21.333800400000001</v>
      </c>
      <c r="M38" s="39">
        <f t="shared" si="7"/>
        <v>0</v>
      </c>
      <c r="N38" s="39">
        <f t="shared" si="8"/>
        <v>19.088137200000002</v>
      </c>
      <c r="O38" s="39">
        <f t="shared" si="9"/>
        <v>0</v>
      </c>
      <c r="P38" s="39">
        <f t="shared" si="10"/>
        <v>17.3103205</v>
      </c>
      <c r="Q38" s="884">
        <f t="shared" si="11"/>
        <v>0</v>
      </c>
      <c r="R38" s="528"/>
    </row>
    <row r="39" spans="1:18" s="198" customFormat="1" ht="15" thickBot="1">
      <c r="A39" s="1288"/>
      <c r="B39" s="416"/>
      <c r="C39" s="614" t="s">
        <v>1095</v>
      </c>
      <c r="D39" s="885" t="s">
        <v>1096</v>
      </c>
      <c r="E39" s="612">
        <v>4637.54</v>
      </c>
      <c r="F39" s="41">
        <f t="shared" si="0"/>
        <v>2550.6470000000004</v>
      </c>
      <c r="G39" s="41">
        <f t="shared" si="1"/>
        <v>0</v>
      </c>
      <c r="H39" s="39">
        <f t="shared" si="2"/>
        <v>80.013796390000024</v>
      </c>
      <c r="I39" s="40">
        <f t="shared" si="3"/>
        <v>0</v>
      </c>
      <c r="J39" s="39">
        <f>F39*0.02564</f>
        <v>65.398589080000008</v>
      </c>
      <c r="K39" s="40">
        <f t="shared" si="5"/>
        <v>0</v>
      </c>
      <c r="L39" s="39">
        <f>F39*0.0256</f>
        <v>65.296563200000008</v>
      </c>
      <c r="M39" s="39">
        <f t="shared" si="7"/>
        <v>0</v>
      </c>
      <c r="N39" s="39">
        <f t="shared" si="8"/>
        <v>52.033198800000015</v>
      </c>
      <c r="O39" s="39">
        <f t="shared" si="9"/>
        <v>0</v>
      </c>
      <c r="P39" s="39">
        <f t="shared" si="10"/>
        <v>47.186969500000004</v>
      </c>
      <c r="Q39" s="884">
        <f t="shared" si="11"/>
        <v>0</v>
      </c>
      <c r="R39" s="528"/>
    </row>
    <row r="40" spans="1:18" s="198" customFormat="1" ht="15" thickBot="1">
      <c r="A40" s="1288"/>
      <c r="B40" s="416"/>
      <c r="C40" s="614" t="s">
        <v>1083</v>
      </c>
      <c r="D40" s="885" t="s">
        <v>1084</v>
      </c>
      <c r="E40" s="612">
        <v>1422.19</v>
      </c>
      <c r="F40" s="41">
        <f t="shared" si="0"/>
        <v>782.20450000000005</v>
      </c>
      <c r="G40" s="41">
        <f t="shared" si="1"/>
        <v>0</v>
      </c>
      <c r="H40" s="39">
        <f t="shared" si="2"/>
        <v>24.537755165000004</v>
      </c>
      <c r="I40" s="40">
        <f t="shared" si="3"/>
        <v>0</v>
      </c>
      <c r="J40" s="39">
        <f>F40*0.02564</f>
        <v>20.05572338</v>
      </c>
      <c r="K40" s="40">
        <f t="shared" si="5"/>
        <v>0</v>
      </c>
      <c r="L40" s="39">
        <f t="shared" si="6"/>
        <v>17.834262600000002</v>
      </c>
      <c r="M40" s="39">
        <f t="shared" si="7"/>
        <v>0</v>
      </c>
      <c r="N40" s="39">
        <f t="shared" si="8"/>
        <v>15.956971800000002</v>
      </c>
      <c r="O40" s="39">
        <f t="shared" si="9"/>
        <v>0</v>
      </c>
      <c r="P40" s="39">
        <f t="shared" si="10"/>
        <v>14.47078325</v>
      </c>
      <c r="Q40" s="884">
        <f t="shared" si="11"/>
        <v>0</v>
      </c>
      <c r="R40" s="528"/>
    </row>
    <row r="41" spans="1:18" s="519" customFormat="1" ht="13.5" customHeight="1" thickBot="1">
      <c r="A41" s="1288"/>
      <c r="B41" s="416"/>
      <c r="C41" s="614" t="s">
        <v>1071</v>
      </c>
      <c r="D41" s="885" t="s">
        <v>1072</v>
      </c>
      <c r="E41" s="612">
        <v>1701.26</v>
      </c>
      <c r="F41" s="41">
        <f t="shared" si="0"/>
        <v>935.6930000000001</v>
      </c>
      <c r="G41" s="41">
        <f t="shared" si="1"/>
        <v>0</v>
      </c>
      <c r="H41" s="39">
        <f t="shared" si="2"/>
        <v>29.352689410000004</v>
      </c>
      <c r="I41" s="40">
        <f t="shared" si="3"/>
        <v>0</v>
      </c>
      <c r="J41" s="39">
        <f t="shared" si="4"/>
        <v>25.637988200000002</v>
      </c>
      <c r="K41" s="40">
        <f t="shared" si="5"/>
        <v>0</v>
      </c>
      <c r="L41" s="39">
        <f t="shared" si="6"/>
        <v>21.333800400000001</v>
      </c>
      <c r="M41" s="39">
        <f t="shared" si="7"/>
        <v>0</v>
      </c>
      <c r="N41" s="39">
        <f t="shared" si="8"/>
        <v>19.088137200000002</v>
      </c>
      <c r="O41" s="39">
        <f t="shared" si="9"/>
        <v>0</v>
      </c>
      <c r="P41" s="39">
        <f t="shared" si="10"/>
        <v>17.3103205</v>
      </c>
      <c r="Q41" s="884">
        <f t="shared" si="11"/>
        <v>0</v>
      </c>
      <c r="R41" s="528"/>
    </row>
    <row r="42" spans="1:18" s="291" customFormat="1" ht="13.5" thickBot="1">
      <c r="A42" s="1288"/>
      <c r="B42" s="416"/>
      <c r="C42" s="511" t="s">
        <v>1085</v>
      </c>
      <c r="D42" s="795" t="s">
        <v>1086</v>
      </c>
      <c r="E42" s="512">
        <v>1545.83</v>
      </c>
      <c r="F42" s="41">
        <f t="shared" si="0"/>
        <v>850.20650000000001</v>
      </c>
      <c r="G42" s="41">
        <f t="shared" si="1"/>
        <v>0</v>
      </c>
      <c r="H42" s="39">
        <f t="shared" si="2"/>
        <v>26.670977905000001</v>
      </c>
      <c r="I42" s="40">
        <f t="shared" si="3"/>
        <v>0</v>
      </c>
      <c r="J42" s="39">
        <f t="shared" si="4"/>
        <v>23.295658100000001</v>
      </c>
      <c r="K42" s="40">
        <f t="shared" si="5"/>
        <v>0</v>
      </c>
      <c r="L42" s="39">
        <f t="shared" si="6"/>
        <v>19.384708200000002</v>
      </c>
      <c r="M42" s="39">
        <f t="shared" si="7"/>
        <v>0</v>
      </c>
      <c r="N42" s="39">
        <f t="shared" si="8"/>
        <v>17.344212600000002</v>
      </c>
      <c r="O42" s="39">
        <f t="shared" si="9"/>
        <v>0</v>
      </c>
      <c r="P42" s="39">
        <f t="shared" si="10"/>
        <v>15.72882025</v>
      </c>
      <c r="Q42" s="884">
        <f t="shared" si="11"/>
        <v>0</v>
      </c>
      <c r="R42" s="528"/>
    </row>
    <row r="43" spans="1:18" s="291" customFormat="1" ht="15" thickBot="1">
      <c r="A43" s="1288"/>
      <c r="B43" s="416"/>
      <c r="C43" s="614" t="s">
        <v>1073</v>
      </c>
      <c r="D43" s="885" t="s">
        <v>1074</v>
      </c>
      <c r="E43" s="612">
        <v>1701.26</v>
      </c>
      <c r="F43" s="41">
        <f t="shared" si="0"/>
        <v>935.6930000000001</v>
      </c>
      <c r="G43" s="41">
        <f t="shared" si="1"/>
        <v>0</v>
      </c>
      <c r="H43" s="39">
        <f t="shared" si="2"/>
        <v>29.352689410000004</v>
      </c>
      <c r="I43" s="40">
        <f t="shared" si="3"/>
        <v>0</v>
      </c>
      <c r="J43" s="39">
        <f t="shared" si="4"/>
        <v>25.637988200000002</v>
      </c>
      <c r="K43" s="40">
        <f t="shared" si="5"/>
        <v>0</v>
      </c>
      <c r="L43" s="39">
        <f t="shared" si="6"/>
        <v>21.333800400000001</v>
      </c>
      <c r="M43" s="39">
        <f t="shared" si="7"/>
        <v>0</v>
      </c>
      <c r="N43" s="39">
        <f t="shared" si="8"/>
        <v>19.088137200000002</v>
      </c>
      <c r="O43" s="39">
        <f t="shared" si="9"/>
        <v>0</v>
      </c>
      <c r="P43" s="39">
        <f t="shared" si="10"/>
        <v>17.3103205</v>
      </c>
      <c r="Q43" s="884">
        <f t="shared" si="11"/>
        <v>0</v>
      </c>
      <c r="R43" s="528"/>
    </row>
    <row r="44" spans="1:18" s="291" customFormat="1" ht="15" thickBot="1">
      <c r="A44" s="1288"/>
      <c r="B44" s="416"/>
      <c r="C44" s="614" t="s">
        <v>1087</v>
      </c>
      <c r="D44" s="885" t="s">
        <v>1088</v>
      </c>
      <c r="E44" s="612">
        <v>1545.83</v>
      </c>
      <c r="F44" s="41">
        <f t="shared" si="0"/>
        <v>850.20650000000001</v>
      </c>
      <c r="G44" s="41">
        <f t="shared" si="1"/>
        <v>0</v>
      </c>
      <c r="H44" s="39">
        <f t="shared" si="2"/>
        <v>26.670977905000001</v>
      </c>
      <c r="I44" s="40">
        <f t="shared" si="3"/>
        <v>0</v>
      </c>
      <c r="J44" s="39">
        <f t="shared" si="4"/>
        <v>23.295658100000001</v>
      </c>
      <c r="K44" s="40">
        <f t="shared" si="5"/>
        <v>0</v>
      </c>
      <c r="L44" s="39">
        <f t="shared" si="6"/>
        <v>19.384708200000002</v>
      </c>
      <c r="M44" s="39">
        <f t="shared" si="7"/>
        <v>0</v>
      </c>
      <c r="N44" s="39">
        <f t="shared" si="8"/>
        <v>17.344212600000002</v>
      </c>
      <c r="O44" s="39">
        <f t="shared" si="9"/>
        <v>0</v>
      </c>
      <c r="P44" s="39">
        <f t="shared" si="10"/>
        <v>15.72882025</v>
      </c>
      <c r="Q44" s="884">
        <f t="shared" si="11"/>
        <v>0</v>
      </c>
      <c r="R44" s="528"/>
    </row>
    <row r="45" spans="1:18" s="291" customFormat="1" ht="15" thickBot="1">
      <c r="A45" s="1288"/>
      <c r="B45" s="416"/>
      <c r="C45" s="614" t="s">
        <v>1079</v>
      </c>
      <c r="D45" s="885" t="s">
        <v>1080</v>
      </c>
      <c r="E45" s="612">
        <v>1545.83</v>
      </c>
      <c r="F45" s="41">
        <f t="shared" si="0"/>
        <v>850.20650000000001</v>
      </c>
      <c r="G45" s="41">
        <f t="shared" si="1"/>
        <v>0</v>
      </c>
      <c r="H45" s="39">
        <f t="shared" si="2"/>
        <v>26.670977905000001</v>
      </c>
      <c r="I45" s="40">
        <f t="shared" si="3"/>
        <v>0</v>
      </c>
      <c r="J45" s="39">
        <f t="shared" si="4"/>
        <v>23.295658100000001</v>
      </c>
      <c r="K45" s="40">
        <f t="shared" si="5"/>
        <v>0</v>
      </c>
      <c r="L45" s="39">
        <f t="shared" si="6"/>
        <v>19.384708200000002</v>
      </c>
      <c r="M45" s="39">
        <f t="shared" si="7"/>
        <v>0</v>
      </c>
      <c r="N45" s="39">
        <f t="shared" si="8"/>
        <v>17.344212600000002</v>
      </c>
      <c r="O45" s="39">
        <f t="shared" si="9"/>
        <v>0</v>
      </c>
      <c r="P45" s="39">
        <f t="shared" si="10"/>
        <v>15.72882025</v>
      </c>
      <c r="Q45" s="884">
        <f t="shared" si="11"/>
        <v>0</v>
      </c>
      <c r="R45" s="528"/>
    </row>
    <row r="46" spans="1:18" s="291" customFormat="1" ht="13.5" thickBot="1">
      <c r="A46" s="1288"/>
      <c r="B46" s="416"/>
      <c r="C46" s="886" t="s">
        <v>1075</v>
      </c>
      <c r="D46" s="795" t="s">
        <v>1076</v>
      </c>
      <c r="E46" s="512">
        <v>1545.83</v>
      </c>
      <c r="F46" s="41">
        <f t="shared" si="0"/>
        <v>850.20650000000001</v>
      </c>
      <c r="G46" s="41">
        <f t="shared" si="1"/>
        <v>0</v>
      </c>
      <c r="H46" s="39">
        <f t="shared" si="2"/>
        <v>26.670977905000001</v>
      </c>
      <c r="I46" s="40">
        <f t="shared" si="3"/>
        <v>0</v>
      </c>
      <c r="J46" s="39">
        <f t="shared" si="4"/>
        <v>23.295658100000001</v>
      </c>
      <c r="K46" s="40">
        <f t="shared" si="5"/>
        <v>0</v>
      </c>
      <c r="L46" s="39">
        <f t="shared" si="6"/>
        <v>19.384708200000002</v>
      </c>
      <c r="M46" s="39">
        <f t="shared" si="7"/>
        <v>0</v>
      </c>
      <c r="N46" s="39">
        <f t="shared" si="8"/>
        <v>17.344212600000002</v>
      </c>
      <c r="O46" s="39">
        <f t="shared" si="9"/>
        <v>0</v>
      </c>
      <c r="P46" s="39">
        <f t="shared" si="10"/>
        <v>15.72882025</v>
      </c>
      <c r="Q46" s="884">
        <f t="shared" si="11"/>
        <v>0</v>
      </c>
      <c r="R46" s="528"/>
    </row>
    <row r="47" spans="1:18" s="291" customFormat="1" ht="15" thickBot="1">
      <c r="A47" s="1288"/>
      <c r="B47" s="416"/>
      <c r="C47" s="614" t="s">
        <v>1097</v>
      </c>
      <c r="D47" s="885" t="s">
        <v>1098</v>
      </c>
      <c r="E47" s="612">
        <v>2679.44</v>
      </c>
      <c r="F47" s="41">
        <f t="shared" si="0"/>
        <v>1473.6920000000002</v>
      </c>
      <c r="G47" s="41">
        <f t="shared" si="1"/>
        <v>0</v>
      </c>
      <c r="H47" s="39">
        <f t="shared" si="2"/>
        <v>46.229718040000009</v>
      </c>
      <c r="I47" s="40">
        <f t="shared" si="3"/>
        <v>0</v>
      </c>
      <c r="J47" s="39">
        <f t="shared" si="4"/>
        <v>40.379160800000008</v>
      </c>
      <c r="K47" s="40">
        <f t="shared" si="5"/>
        <v>0</v>
      </c>
      <c r="L47" s="39">
        <f t="shared" si="6"/>
        <v>33.600177600000009</v>
      </c>
      <c r="M47" s="39">
        <f t="shared" si="7"/>
        <v>0</v>
      </c>
      <c r="N47" s="39">
        <f t="shared" si="8"/>
        <v>30.063316800000006</v>
      </c>
      <c r="O47" s="39">
        <f t="shared" si="9"/>
        <v>0</v>
      </c>
      <c r="P47" s="39">
        <f t="shared" si="10"/>
        <v>27.263302000000003</v>
      </c>
      <c r="Q47" s="884">
        <f t="shared" si="11"/>
        <v>0</v>
      </c>
      <c r="R47" s="528"/>
    </row>
    <row r="48" spans="1:18" s="519" customFormat="1" ht="13.5" customHeight="1" thickBot="1">
      <c r="A48" s="1288"/>
      <c r="B48" s="416"/>
      <c r="C48" s="614" t="s">
        <v>1077</v>
      </c>
      <c r="D48" s="885" t="s">
        <v>1078</v>
      </c>
      <c r="E48" s="612">
        <v>1545.83</v>
      </c>
      <c r="F48" s="41">
        <f t="shared" si="0"/>
        <v>850.20650000000001</v>
      </c>
      <c r="G48" s="41">
        <f t="shared" si="1"/>
        <v>0</v>
      </c>
      <c r="H48" s="39">
        <f t="shared" si="2"/>
        <v>26.670977905000001</v>
      </c>
      <c r="I48" s="40">
        <f t="shared" si="3"/>
        <v>0</v>
      </c>
      <c r="J48" s="39">
        <f t="shared" si="4"/>
        <v>23.295658100000001</v>
      </c>
      <c r="K48" s="40">
        <f t="shared" si="5"/>
        <v>0</v>
      </c>
      <c r="L48" s="39">
        <f t="shared" si="6"/>
        <v>19.384708200000002</v>
      </c>
      <c r="M48" s="39">
        <f t="shared" si="7"/>
        <v>0</v>
      </c>
      <c r="N48" s="39">
        <f t="shared" si="8"/>
        <v>17.344212600000002</v>
      </c>
      <c r="O48" s="39">
        <f t="shared" si="9"/>
        <v>0</v>
      </c>
      <c r="P48" s="39">
        <f t="shared" si="10"/>
        <v>15.72882025</v>
      </c>
      <c r="Q48" s="884">
        <f t="shared" si="11"/>
        <v>0</v>
      </c>
      <c r="R48" s="528"/>
    </row>
    <row r="49" spans="1:18" s="291" customFormat="1" ht="15" thickBot="1">
      <c r="A49" s="1288"/>
      <c r="B49" s="416"/>
      <c r="C49" s="614" t="s">
        <v>1099</v>
      </c>
      <c r="D49" s="885" t="s">
        <v>1100</v>
      </c>
      <c r="E49" s="612">
        <v>5152.8100000000004</v>
      </c>
      <c r="F49" s="41">
        <f t="shared" si="0"/>
        <v>2834.0455000000006</v>
      </c>
      <c r="G49" s="41">
        <f t="shared" si="1"/>
        <v>0</v>
      </c>
      <c r="H49" s="39">
        <f t="shared" si="2"/>
        <v>88.904007335000031</v>
      </c>
      <c r="I49" s="40">
        <f t="shared" si="3"/>
        <v>0</v>
      </c>
      <c r="J49" s="39">
        <f t="shared" si="4"/>
        <v>77.652846700000026</v>
      </c>
      <c r="K49" s="40">
        <f t="shared" si="5"/>
        <v>0</v>
      </c>
      <c r="L49" s="39">
        <f t="shared" si="6"/>
        <v>64.616237400000017</v>
      </c>
      <c r="M49" s="39">
        <f t="shared" si="7"/>
        <v>0</v>
      </c>
      <c r="N49" s="39">
        <f t="shared" si="8"/>
        <v>57.814528200000019</v>
      </c>
      <c r="O49" s="39">
        <f t="shared" si="9"/>
        <v>0</v>
      </c>
      <c r="P49" s="39">
        <f t="shared" si="10"/>
        <v>52.429841750000008</v>
      </c>
      <c r="Q49" s="884">
        <f t="shared" si="11"/>
        <v>0</v>
      </c>
      <c r="R49" s="528"/>
    </row>
    <row r="50" spans="1:18" s="291" customFormat="1" ht="15" thickBot="1">
      <c r="A50" s="1288"/>
      <c r="B50" s="416"/>
      <c r="C50" s="614" t="s">
        <v>1091</v>
      </c>
      <c r="D50" s="885" t="s">
        <v>1092</v>
      </c>
      <c r="E50" s="612">
        <v>1648.89</v>
      </c>
      <c r="F50" s="41">
        <f t="shared" si="0"/>
        <v>906.88950000000011</v>
      </c>
      <c r="G50" s="41">
        <f t="shared" si="1"/>
        <v>0</v>
      </c>
      <c r="H50" s="39">
        <f t="shared" si="2"/>
        <v>28.449123615000005</v>
      </c>
      <c r="I50" s="40">
        <f t="shared" si="3"/>
        <v>0</v>
      </c>
      <c r="J50" s="39">
        <f t="shared" si="4"/>
        <v>24.848772300000004</v>
      </c>
      <c r="K50" s="40">
        <f t="shared" si="5"/>
        <v>0</v>
      </c>
      <c r="L50" s="39">
        <f t="shared" si="6"/>
        <v>20.677080600000004</v>
      </c>
      <c r="M50" s="39">
        <f t="shared" si="7"/>
        <v>0</v>
      </c>
      <c r="N50" s="39">
        <f t="shared" si="8"/>
        <v>18.500545800000005</v>
      </c>
      <c r="O50" s="39">
        <f t="shared" si="9"/>
        <v>0</v>
      </c>
      <c r="P50" s="39">
        <f t="shared" si="10"/>
        <v>16.777455750000001</v>
      </c>
      <c r="Q50" s="884">
        <f t="shared" si="11"/>
        <v>0</v>
      </c>
      <c r="R50" s="528"/>
    </row>
    <row r="51" spans="1:18" s="291" customFormat="1" ht="15" thickBot="1">
      <c r="A51" s="1288"/>
      <c r="B51" s="416"/>
      <c r="C51" s="614" t="s">
        <v>1093</v>
      </c>
      <c r="D51" s="885" t="s">
        <v>1094</v>
      </c>
      <c r="E51" s="612">
        <v>1648.89</v>
      </c>
      <c r="F51" s="41">
        <f t="shared" si="0"/>
        <v>906.88950000000011</v>
      </c>
      <c r="G51" s="41">
        <f t="shared" si="1"/>
        <v>0</v>
      </c>
      <c r="H51" s="39">
        <f t="shared" si="2"/>
        <v>28.449123615000005</v>
      </c>
      <c r="I51" s="40">
        <f t="shared" si="3"/>
        <v>0</v>
      </c>
      <c r="J51" s="39">
        <f t="shared" si="4"/>
        <v>24.848772300000004</v>
      </c>
      <c r="K51" s="40">
        <f t="shared" si="5"/>
        <v>0</v>
      </c>
      <c r="L51" s="39">
        <f t="shared" si="6"/>
        <v>20.677080600000004</v>
      </c>
      <c r="M51" s="39">
        <f t="shared" si="7"/>
        <v>0</v>
      </c>
      <c r="N51" s="39">
        <f t="shared" si="8"/>
        <v>18.500545800000005</v>
      </c>
      <c r="O51" s="39">
        <f t="shared" si="9"/>
        <v>0</v>
      </c>
      <c r="P51" s="39">
        <f t="shared" si="10"/>
        <v>16.777455750000001</v>
      </c>
      <c r="Q51" s="884">
        <f t="shared" si="11"/>
        <v>0</v>
      </c>
      <c r="R51" s="528"/>
    </row>
    <row r="52" spans="1:18" s="291" customFormat="1" ht="15" thickBot="1">
      <c r="A52" s="1288"/>
      <c r="B52" s="416"/>
      <c r="C52" s="614" t="s">
        <v>1161</v>
      </c>
      <c r="D52" s="885" t="s">
        <v>1162</v>
      </c>
      <c r="E52" s="612">
        <v>4159.99</v>
      </c>
      <c r="F52" s="41">
        <f t="shared" si="0"/>
        <v>2287.9945000000002</v>
      </c>
      <c r="G52" s="41">
        <f t="shared" si="1"/>
        <v>0</v>
      </c>
      <c r="H52" s="39">
        <f t="shared" si="2"/>
        <v>71.774387465000018</v>
      </c>
      <c r="I52" s="40">
        <f t="shared" si="3"/>
        <v>0</v>
      </c>
      <c r="J52" s="39">
        <f t="shared" si="4"/>
        <v>62.69104930000001</v>
      </c>
      <c r="K52" s="40">
        <f t="shared" si="5"/>
        <v>0</v>
      </c>
      <c r="L52" s="39">
        <f t="shared" si="6"/>
        <v>52.166274600000008</v>
      </c>
      <c r="M52" s="39">
        <f t="shared" si="7"/>
        <v>0</v>
      </c>
      <c r="N52" s="39">
        <f t="shared" si="8"/>
        <v>46.675087800000007</v>
      </c>
      <c r="O52" s="39">
        <f t="shared" si="9"/>
        <v>0</v>
      </c>
      <c r="P52" s="39">
        <f t="shared" si="10"/>
        <v>42.327898250000004</v>
      </c>
      <c r="Q52" s="884">
        <f t="shared" si="11"/>
        <v>0</v>
      </c>
      <c r="R52" s="528"/>
    </row>
    <row r="53" spans="1:18" s="291" customFormat="1" ht="15" thickBot="1">
      <c r="A53" s="1288"/>
      <c r="B53" s="416"/>
      <c r="C53" s="614" t="s">
        <v>1165</v>
      </c>
      <c r="D53" s="885" t="s">
        <v>1166</v>
      </c>
      <c r="E53" s="612">
        <v>3690.62</v>
      </c>
      <c r="F53" s="41">
        <f t="shared" si="0"/>
        <v>2029.8410000000001</v>
      </c>
      <c r="G53" s="41">
        <f t="shared" si="1"/>
        <v>0</v>
      </c>
      <c r="H53" s="39">
        <f t="shared" si="2"/>
        <v>63.67611217000001</v>
      </c>
      <c r="I53" s="40">
        <f t="shared" si="3"/>
        <v>0</v>
      </c>
      <c r="J53" s="39">
        <f t="shared" si="4"/>
        <v>55.617643400000006</v>
      </c>
      <c r="K53" s="40">
        <f t="shared" si="5"/>
        <v>0</v>
      </c>
      <c r="L53" s="39">
        <f t="shared" si="6"/>
        <v>46.280374800000004</v>
      </c>
      <c r="M53" s="39">
        <f t="shared" si="7"/>
        <v>0</v>
      </c>
      <c r="N53" s="39">
        <f t="shared" si="8"/>
        <v>41.408756400000009</v>
      </c>
      <c r="O53" s="39">
        <f t="shared" si="9"/>
        <v>0</v>
      </c>
      <c r="P53" s="39">
        <f t="shared" si="10"/>
        <v>37.552058500000001</v>
      </c>
      <c r="Q53" s="884">
        <f t="shared" si="11"/>
        <v>0</v>
      </c>
      <c r="R53" s="528"/>
    </row>
    <row r="54" spans="1:18" s="291" customFormat="1" ht="15" thickBot="1">
      <c r="A54" s="1288"/>
      <c r="B54" s="416"/>
      <c r="C54" s="614" t="s">
        <v>1163</v>
      </c>
      <c r="D54" s="885" t="s">
        <v>1164</v>
      </c>
      <c r="E54" s="612">
        <v>3690.62</v>
      </c>
      <c r="F54" s="41">
        <f t="shared" si="0"/>
        <v>2029.8410000000001</v>
      </c>
      <c r="G54" s="41">
        <f t="shared" si="1"/>
        <v>0</v>
      </c>
      <c r="H54" s="39">
        <f t="shared" si="2"/>
        <v>63.67611217000001</v>
      </c>
      <c r="I54" s="40">
        <f t="shared" si="3"/>
        <v>0</v>
      </c>
      <c r="J54" s="39">
        <f t="shared" si="4"/>
        <v>55.617643400000006</v>
      </c>
      <c r="K54" s="40">
        <f t="shared" si="5"/>
        <v>0</v>
      </c>
      <c r="L54" s="39">
        <f t="shared" si="6"/>
        <v>46.280374800000004</v>
      </c>
      <c r="M54" s="39">
        <f t="shared" si="7"/>
        <v>0</v>
      </c>
      <c r="N54" s="39">
        <f t="shared" si="8"/>
        <v>41.408756400000009</v>
      </c>
      <c r="O54" s="39">
        <f t="shared" si="9"/>
        <v>0</v>
      </c>
      <c r="P54" s="39">
        <f t="shared" si="10"/>
        <v>37.552058500000001</v>
      </c>
      <c r="Q54" s="884">
        <f t="shared" si="11"/>
        <v>0</v>
      </c>
      <c r="R54" s="528"/>
    </row>
    <row r="55" spans="1:18" s="291" customFormat="1" ht="15" thickBot="1">
      <c r="A55" s="1288"/>
      <c r="B55" s="416"/>
      <c r="C55" s="614" t="s">
        <v>1081</v>
      </c>
      <c r="D55" s="885" t="s">
        <v>1082</v>
      </c>
      <c r="E55" s="612">
        <v>1628.26</v>
      </c>
      <c r="F55" s="41">
        <f t="shared" si="0"/>
        <v>895.54300000000012</v>
      </c>
      <c r="G55" s="41">
        <f t="shared" si="1"/>
        <v>0</v>
      </c>
      <c r="H55" s="39">
        <f t="shared" si="2"/>
        <v>28.093183910000004</v>
      </c>
      <c r="I55" s="40">
        <f t="shared" si="3"/>
        <v>0</v>
      </c>
      <c r="J55" s="39">
        <f t="shared" si="4"/>
        <v>24.537878200000005</v>
      </c>
      <c r="K55" s="40">
        <f t="shared" si="5"/>
        <v>0</v>
      </c>
      <c r="L55" s="39">
        <f t="shared" si="6"/>
        <v>20.418380400000004</v>
      </c>
      <c r="M55" s="39">
        <f t="shared" si="7"/>
        <v>0</v>
      </c>
      <c r="N55" s="39">
        <f t="shared" si="8"/>
        <v>18.269077200000005</v>
      </c>
      <c r="O55" s="39">
        <f t="shared" si="9"/>
        <v>0</v>
      </c>
      <c r="P55" s="39">
        <f t="shared" si="10"/>
        <v>16.567545500000001</v>
      </c>
      <c r="Q55" s="884">
        <f t="shared" si="11"/>
        <v>0</v>
      </c>
      <c r="R55" s="528"/>
    </row>
    <row r="56" spans="1:18" s="291" customFormat="1" ht="15" thickBot="1">
      <c r="A56" s="1288"/>
      <c r="B56" s="416"/>
      <c r="C56" s="614" t="s">
        <v>1121</v>
      </c>
      <c r="D56" s="885" t="s">
        <v>1122</v>
      </c>
      <c r="E56" s="612">
        <v>154.84</v>
      </c>
      <c r="F56" s="41">
        <f t="shared" si="0"/>
        <v>85.162000000000006</v>
      </c>
      <c r="G56" s="41">
        <f t="shared" si="1"/>
        <v>0</v>
      </c>
      <c r="H56" s="39">
        <f t="shared" si="2"/>
        <v>2.6715319400000004</v>
      </c>
      <c r="I56" s="40">
        <f t="shared" si="3"/>
        <v>0</v>
      </c>
      <c r="J56" s="39">
        <f t="shared" si="4"/>
        <v>2.3334388000000001</v>
      </c>
      <c r="K56" s="40">
        <f t="shared" si="5"/>
        <v>0</v>
      </c>
      <c r="L56" s="39">
        <f t="shared" si="6"/>
        <v>1.9416936000000002</v>
      </c>
      <c r="M56" s="39">
        <f t="shared" si="7"/>
        <v>0</v>
      </c>
      <c r="N56" s="39">
        <f t="shared" si="8"/>
        <v>1.7373048000000002</v>
      </c>
      <c r="O56" s="39">
        <f t="shared" si="9"/>
        <v>0</v>
      </c>
      <c r="P56" s="39">
        <f t="shared" si="10"/>
        <v>1.5754969999999999</v>
      </c>
      <c r="Q56" s="884">
        <f t="shared" si="11"/>
        <v>0</v>
      </c>
      <c r="R56" s="528"/>
    </row>
    <row r="57" spans="1:18" s="291" customFormat="1" ht="15" thickBot="1">
      <c r="A57" s="1288"/>
      <c r="B57" s="416"/>
      <c r="C57" s="614" t="s">
        <v>1111</v>
      </c>
      <c r="D57" s="885" t="s">
        <v>1112</v>
      </c>
      <c r="E57" s="612">
        <v>142.6</v>
      </c>
      <c r="F57" s="41">
        <f t="shared" si="0"/>
        <v>78.430000000000007</v>
      </c>
      <c r="G57" s="41">
        <f t="shared" si="1"/>
        <v>0</v>
      </c>
      <c r="H57" s="39">
        <f t="shared" si="2"/>
        <v>2.4603491000000002</v>
      </c>
      <c r="I57" s="40">
        <f t="shared" si="3"/>
        <v>0</v>
      </c>
      <c r="J57" s="39">
        <f t="shared" si="4"/>
        <v>2.1489820000000002</v>
      </c>
      <c r="K57" s="40">
        <f t="shared" si="5"/>
        <v>0</v>
      </c>
      <c r="L57" s="39">
        <f t="shared" si="6"/>
        <v>1.7882040000000001</v>
      </c>
      <c r="M57" s="39">
        <f t="shared" si="7"/>
        <v>0</v>
      </c>
      <c r="N57" s="39">
        <f t="shared" si="8"/>
        <v>1.5999720000000002</v>
      </c>
      <c r="O57" s="39">
        <f t="shared" si="9"/>
        <v>0</v>
      </c>
      <c r="P57" s="39">
        <f t="shared" si="10"/>
        <v>1.450955</v>
      </c>
      <c r="Q57" s="884">
        <f t="shared" si="11"/>
        <v>0</v>
      </c>
      <c r="R57" s="528"/>
    </row>
    <row r="58" spans="1:18" s="519" customFormat="1" ht="15" thickBot="1">
      <c r="A58" s="1288"/>
      <c r="B58" s="416"/>
      <c r="C58" s="614" t="s">
        <v>1101</v>
      </c>
      <c r="D58" s="885" t="s">
        <v>1102</v>
      </c>
      <c r="E58" s="612">
        <v>141.21</v>
      </c>
      <c r="F58" s="41">
        <f t="shared" si="0"/>
        <v>77.665500000000009</v>
      </c>
      <c r="G58" s="41">
        <f t="shared" si="1"/>
        <v>0</v>
      </c>
      <c r="H58" s="39">
        <f t="shared" si="2"/>
        <v>2.4363667350000004</v>
      </c>
      <c r="I58" s="40">
        <f t="shared" si="3"/>
        <v>0</v>
      </c>
      <c r="J58" s="39">
        <f t="shared" si="4"/>
        <v>2.1280347000000002</v>
      </c>
      <c r="K58" s="40">
        <f t="shared" si="5"/>
        <v>0</v>
      </c>
      <c r="L58" s="39">
        <f t="shared" si="6"/>
        <v>1.7707734000000002</v>
      </c>
      <c r="M58" s="39">
        <f t="shared" si="7"/>
        <v>0</v>
      </c>
      <c r="N58" s="39">
        <f t="shared" si="8"/>
        <v>1.5843762000000003</v>
      </c>
      <c r="O58" s="39">
        <f t="shared" si="9"/>
        <v>0</v>
      </c>
      <c r="P58" s="39">
        <f t="shared" si="10"/>
        <v>1.4368117500000002</v>
      </c>
      <c r="Q58" s="884">
        <f t="shared" si="11"/>
        <v>0</v>
      </c>
      <c r="R58" s="528"/>
    </row>
    <row r="59" spans="1:18" s="291" customFormat="1" ht="15" thickBot="1">
      <c r="A59" s="1288"/>
      <c r="B59" s="416"/>
      <c r="C59" s="614" t="s">
        <v>1103</v>
      </c>
      <c r="D59" s="885" t="s">
        <v>1104</v>
      </c>
      <c r="E59" s="612">
        <v>122.89</v>
      </c>
      <c r="F59" s="41">
        <f t="shared" si="0"/>
        <v>67.589500000000001</v>
      </c>
      <c r="G59" s="41">
        <f t="shared" si="1"/>
        <v>0</v>
      </c>
      <c r="H59" s="39">
        <f t="shared" si="2"/>
        <v>2.1202826150000003</v>
      </c>
      <c r="I59" s="40">
        <f t="shared" si="3"/>
        <v>0</v>
      </c>
      <c r="J59" s="39">
        <f t="shared" si="4"/>
        <v>1.8519523</v>
      </c>
      <c r="K59" s="40">
        <f t="shared" si="5"/>
        <v>0</v>
      </c>
      <c r="L59" s="39">
        <f t="shared" si="6"/>
        <v>1.5410406000000001</v>
      </c>
      <c r="M59" s="39">
        <f t="shared" si="7"/>
        <v>0</v>
      </c>
      <c r="N59" s="39">
        <f t="shared" si="8"/>
        <v>1.3788258000000002</v>
      </c>
      <c r="O59" s="39">
        <f t="shared" si="9"/>
        <v>0</v>
      </c>
      <c r="P59" s="39">
        <f t="shared" si="10"/>
        <v>1.2504057499999999</v>
      </c>
      <c r="Q59" s="884">
        <f t="shared" si="11"/>
        <v>0</v>
      </c>
      <c r="R59" s="528"/>
    </row>
    <row r="60" spans="1:18" s="291" customFormat="1" ht="15" thickBot="1">
      <c r="A60" s="1288"/>
      <c r="B60" s="416"/>
      <c r="C60" s="614" t="s">
        <v>1113</v>
      </c>
      <c r="D60" s="885" t="s">
        <v>1114</v>
      </c>
      <c r="E60" s="612">
        <v>124.08</v>
      </c>
      <c r="F60" s="41">
        <f t="shared" si="0"/>
        <v>68.244</v>
      </c>
      <c r="G60" s="41">
        <f t="shared" si="1"/>
        <v>0</v>
      </c>
      <c r="H60" s="39">
        <f t="shared" si="2"/>
        <v>2.1408142800000003</v>
      </c>
      <c r="I60" s="40">
        <f t="shared" si="3"/>
        <v>0</v>
      </c>
      <c r="J60" s="39">
        <f t="shared" si="4"/>
        <v>1.8698856000000001</v>
      </c>
      <c r="K60" s="40">
        <f t="shared" si="5"/>
        <v>0</v>
      </c>
      <c r="L60" s="39">
        <f t="shared" si="6"/>
        <v>1.5559632000000001</v>
      </c>
      <c r="M60" s="39">
        <f t="shared" si="7"/>
        <v>0</v>
      </c>
      <c r="N60" s="39">
        <f t="shared" si="8"/>
        <v>1.3921776000000001</v>
      </c>
      <c r="O60" s="39">
        <f t="shared" si="9"/>
        <v>0</v>
      </c>
      <c r="P60" s="39">
        <f t="shared" si="10"/>
        <v>1.2625139999999999</v>
      </c>
      <c r="Q60" s="884">
        <f t="shared" si="11"/>
        <v>0</v>
      </c>
      <c r="R60" s="528"/>
    </row>
    <row r="61" spans="1:18" s="291" customFormat="1" ht="15" thickBot="1">
      <c r="A61" s="1288"/>
      <c r="B61" s="416"/>
      <c r="C61" s="614" t="s">
        <v>1107</v>
      </c>
      <c r="D61" s="885" t="s">
        <v>1108</v>
      </c>
      <c r="E61" s="612">
        <v>111.45</v>
      </c>
      <c r="F61" s="41">
        <f t="shared" si="0"/>
        <v>61.297500000000007</v>
      </c>
      <c r="G61" s="41">
        <f t="shared" si="1"/>
        <v>0</v>
      </c>
      <c r="H61" s="39">
        <f t="shared" si="2"/>
        <v>1.9229025750000004</v>
      </c>
      <c r="I61" s="40">
        <f t="shared" si="3"/>
        <v>0</v>
      </c>
      <c r="J61" s="39">
        <f t="shared" si="4"/>
        <v>1.6795515000000003</v>
      </c>
      <c r="K61" s="40">
        <f t="shared" si="5"/>
        <v>0</v>
      </c>
      <c r="L61" s="39">
        <f t="shared" si="6"/>
        <v>1.3975830000000002</v>
      </c>
      <c r="M61" s="39">
        <f t="shared" si="7"/>
        <v>0</v>
      </c>
      <c r="N61" s="39">
        <f t="shared" si="8"/>
        <v>1.2504690000000003</v>
      </c>
      <c r="O61" s="39">
        <f t="shared" si="9"/>
        <v>0</v>
      </c>
      <c r="P61" s="39">
        <f t="shared" si="10"/>
        <v>1.13400375</v>
      </c>
      <c r="Q61" s="884">
        <f t="shared" si="11"/>
        <v>0</v>
      </c>
      <c r="R61" s="528"/>
    </row>
    <row r="62" spans="1:18" s="291" customFormat="1" ht="15" thickBot="1">
      <c r="A62" s="1288"/>
      <c r="B62" s="416"/>
      <c r="C62" s="614" t="s">
        <v>1123</v>
      </c>
      <c r="D62" s="885" t="s">
        <v>1124</v>
      </c>
      <c r="E62" s="612">
        <v>134.54</v>
      </c>
      <c r="F62" s="41">
        <f t="shared" si="0"/>
        <v>73.997</v>
      </c>
      <c r="G62" s="41">
        <f t="shared" si="1"/>
        <v>0</v>
      </c>
      <c r="H62" s="39">
        <f t="shared" si="2"/>
        <v>2.32128589</v>
      </c>
      <c r="I62" s="40">
        <f t="shared" si="3"/>
        <v>0</v>
      </c>
      <c r="J62" s="39">
        <f t="shared" si="4"/>
        <v>2.0275178</v>
      </c>
      <c r="K62" s="40">
        <f t="shared" si="5"/>
        <v>0</v>
      </c>
      <c r="L62" s="39">
        <f t="shared" si="6"/>
        <v>1.6871316000000001</v>
      </c>
      <c r="M62" s="39">
        <f t="shared" si="7"/>
        <v>0</v>
      </c>
      <c r="N62" s="39">
        <f t="shared" si="8"/>
        <v>1.5095388000000001</v>
      </c>
      <c r="O62" s="39">
        <f t="shared" si="9"/>
        <v>0</v>
      </c>
      <c r="P62" s="39">
        <f t="shared" si="10"/>
        <v>1.3689445</v>
      </c>
      <c r="Q62" s="884">
        <f t="shared" si="11"/>
        <v>0</v>
      </c>
      <c r="R62" s="528"/>
    </row>
    <row r="63" spans="1:18" s="519" customFormat="1" ht="15" thickBot="1">
      <c r="A63" s="1288"/>
      <c r="B63" s="416"/>
      <c r="C63" s="614" t="s">
        <v>1105</v>
      </c>
      <c r="D63" s="885" t="s">
        <v>1106</v>
      </c>
      <c r="E63" s="612">
        <v>113.74</v>
      </c>
      <c r="F63" s="41">
        <f t="shared" si="0"/>
        <v>62.557000000000002</v>
      </c>
      <c r="G63" s="41">
        <f t="shared" si="1"/>
        <v>0</v>
      </c>
      <c r="H63" s="39">
        <f t="shared" si="2"/>
        <v>1.9624130900000003</v>
      </c>
      <c r="I63" s="40">
        <f t="shared" si="3"/>
        <v>0</v>
      </c>
      <c r="J63" s="39">
        <f t="shared" si="4"/>
        <v>1.7140618000000001</v>
      </c>
      <c r="K63" s="40">
        <f t="shared" si="5"/>
        <v>0</v>
      </c>
      <c r="L63" s="39">
        <f t="shared" si="6"/>
        <v>1.4262996000000001</v>
      </c>
      <c r="M63" s="39">
        <f t="shared" si="7"/>
        <v>0</v>
      </c>
      <c r="N63" s="39">
        <f t="shared" si="8"/>
        <v>1.2761628</v>
      </c>
      <c r="O63" s="39">
        <f t="shared" si="9"/>
        <v>0</v>
      </c>
      <c r="P63" s="39">
        <f t="shared" si="10"/>
        <v>1.1573045</v>
      </c>
      <c r="Q63" s="884">
        <f t="shared" si="11"/>
        <v>0</v>
      </c>
      <c r="R63" s="528"/>
    </row>
    <row r="64" spans="1:18" s="198" customFormat="1" ht="15" thickBot="1">
      <c r="A64" s="1288"/>
      <c r="B64" s="416"/>
      <c r="C64" s="614" t="s">
        <v>1125</v>
      </c>
      <c r="D64" s="885" t="s">
        <v>1126</v>
      </c>
      <c r="E64" s="612">
        <v>124.34</v>
      </c>
      <c r="F64" s="41">
        <f t="shared" si="0"/>
        <v>68.387</v>
      </c>
      <c r="G64" s="41">
        <f t="shared" si="1"/>
        <v>0</v>
      </c>
      <c r="H64" s="39">
        <f t="shared" si="2"/>
        <v>2.1453001899999999</v>
      </c>
      <c r="I64" s="40">
        <f t="shared" si="3"/>
        <v>0</v>
      </c>
      <c r="J64" s="39">
        <f t="shared" si="4"/>
        <v>1.8738038000000001</v>
      </c>
      <c r="K64" s="40">
        <f t="shared" si="5"/>
        <v>0</v>
      </c>
      <c r="L64" s="39">
        <f t="shared" si="6"/>
        <v>1.5592236000000002</v>
      </c>
      <c r="M64" s="39">
        <f t="shared" si="7"/>
        <v>0</v>
      </c>
      <c r="N64" s="39">
        <f t="shared" si="8"/>
        <v>1.3950948000000001</v>
      </c>
      <c r="O64" s="39">
        <f t="shared" si="9"/>
        <v>0</v>
      </c>
      <c r="P64" s="39">
        <f t="shared" si="10"/>
        <v>1.2651595</v>
      </c>
      <c r="Q64" s="884">
        <f t="shared" si="11"/>
        <v>0</v>
      </c>
      <c r="R64" s="528"/>
    </row>
    <row r="65" spans="1:18" s="198" customFormat="1" ht="15" thickBot="1">
      <c r="A65" s="1288"/>
      <c r="B65" s="416"/>
      <c r="C65" s="614" t="s">
        <v>1115</v>
      </c>
      <c r="D65" s="885" t="s">
        <v>1116</v>
      </c>
      <c r="E65" s="612">
        <v>118.33</v>
      </c>
      <c r="F65" s="41">
        <f t="shared" si="0"/>
        <v>65.081500000000005</v>
      </c>
      <c r="G65" s="41">
        <f t="shared" si="1"/>
        <v>0</v>
      </c>
      <c r="H65" s="39">
        <f t="shared" si="2"/>
        <v>2.0416066550000003</v>
      </c>
      <c r="I65" s="40">
        <f t="shared" si="3"/>
        <v>0</v>
      </c>
      <c r="J65" s="39">
        <f t="shared" si="4"/>
        <v>1.7832331000000001</v>
      </c>
      <c r="K65" s="40">
        <f t="shared" si="5"/>
        <v>0</v>
      </c>
      <c r="L65" s="39">
        <f t="shared" si="6"/>
        <v>1.4838582000000002</v>
      </c>
      <c r="M65" s="39">
        <f t="shared" si="7"/>
        <v>0</v>
      </c>
      <c r="N65" s="39">
        <f t="shared" si="8"/>
        <v>1.3276626000000002</v>
      </c>
      <c r="O65" s="39">
        <f t="shared" si="9"/>
        <v>0</v>
      </c>
      <c r="P65" s="39">
        <f t="shared" si="10"/>
        <v>1.2040077499999999</v>
      </c>
      <c r="Q65" s="884">
        <f t="shared" si="11"/>
        <v>0</v>
      </c>
      <c r="R65" s="528"/>
    </row>
    <row r="66" spans="1:18" s="198" customFormat="1" ht="15" thickBot="1">
      <c r="A66" s="1288"/>
      <c r="B66" s="416"/>
      <c r="C66" s="614" t="s">
        <v>1127</v>
      </c>
      <c r="D66" s="885" t="s">
        <v>1128</v>
      </c>
      <c r="E66" s="612">
        <v>122.49</v>
      </c>
      <c r="F66" s="41">
        <f t="shared" si="0"/>
        <v>67.369500000000002</v>
      </c>
      <c r="G66" s="41">
        <f t="shared" si="1"/>
        <v>0</v>
      </c>
      <c r="H66" s="39">
        <f t="shared" si="2"/>
        <v>2.1133812150000004</v>
      </c>
      <c r="I66" s="40">
        <f t="shared" si="3"/>
        <v>0</v>
      </c>
      <c r="J66" s="39">
        <f t="shared" si="4"/>
        <v>1.8459243000000001</v>
      </c>
      <c r="K66" s="40">
        <f t="shared" si="5"/>
        <v>0</v>
      </c>
      <c r="L66" s="39">
        <f t="shared" si="6"/>
        <v>1.5360246000000002</v>
      </c>
      <c r="M66" s="39">
        <f t="shared" si="7"/>
        <v>0</v>
      </c>
      <c r="N66" s="39">
        <f t="shared" si="8"/>
        <v>1.3743378000000002</v>
      </c>
      <c r="O66" s="39">
        <f t="shared" si="9"/>
        <v>0</v>
      </c>
      <c r="P66" s="39">
        <f t="shared" si="10"/>
        <v>1.2463357500000001</v>
      </c>
      <c r="Q66" s="884">
        <f t="shared" si="11"/>
        <v>0</v>
      </c>
      <c r="R66" s="528"/>
    </row>
    <row r="67" spans="1:18" s="198" customFormat="1" ht="15" thickBot="1">
      <c r="A67" s="1288"/>
      <c r="B67" s="416"/>
      <c r="C67" s="614" t="s">
        <v>1117</v>
      </c>
      <c r="D67" s="885" t="s">
        <v>1118</v>
      </c>
      <c r="E67" s="612">
        <v>115.93</v>
      </c>
      <c r="F67" s="41">
        <f t="shared" si="0"/>
        <v>63.761500000000012</v>
      </c>
      <c r="G67" s="41">
        <f t="shared" si="1"/>
        <v>0</v>
      </c>
      <c r="H67" s="39">
        <f t="shared" si="2"/>
        <v>2.0001982550000004</v>
      </c>
      <c r="I67" s="40">
        <f t="shared" si="3"/>
        <v>0</v>
      </c>
      <c r="J67" s="39">
        <f t="shared" si="4"/>
        <v>1.7470651000000004</v>
      </c>
      <c r="K67" s="40">
        <f t="shared" si="5"/>
        <v>0</v>
      </c>
      <c r="L67" s="39">
        <f t="shared" si="6"/>
        <v>1.4537622000000003</v>
      </c>
      <c r="M67" s="39">
        <f t="shared" si="7"/>
        <v>0</v>
      </c>
      <c r="N67" s="39">
        <f t="shared" si="8"/>
        <v>1.3007346000000004</v>
      </c>
      <c r="O67" s="39">
        <f t="shared" si="9"/>
        <v>0</v>
      </c>
      <c r="P67" s="39">
        <f t="shared" si="10"/>
        <v>1.1795877500000003</v>
      </c>
      <c r="Q67" s="884">
        <f t="shared" si="11"/>
        <v>0</v>
      </c>
      <c r="R67" s="528"/>
    </row>
    <row r="68" spans="1:18" s="519" customFormat="1" ht="13.5" customHeight="1" thickBot="1">
      <c r="A68" s="1288"/>
      <c r="B68" s="416"/>
      <c r="C68" s="614" t="s">
        <v>1109</v>
      </c>
      <c r="D68" s="885" t="s">
        <v>1110</v>
      </c>
      <c r="E68" s="612">
        <v>105.33</v>
      </c>
      <c r="F68" s="41">
        <f t="shared" si="0"/>
        <v>57.931500000000007</v>
      </c>
      <c r="G68" s="41">
        <f t="shared" si="1"/>
        <v>0</v>
      </c>
      <c r="H68" s="39">
        <f t="shared" si="2"/>
        <v>1.8173111550000003</v>
      </c>
      <c r="I68" s="40">
        <f t="shared" si="3"/>
        <v>0</v>
      </c>
      <c r="J68" s="39">
        <f t="shared" si="4"/>
        <v>1.5873231000000003</v>
      </c>
      <c r="K68" s="40">
        <f t="shared" si="5"/>
        <v>0</v>
      </c>
      <c r="L68" s="39">
        <f t="shared" si="6"/>
        <v>1.3208382000000003</v>
      </c>
      <c r="M68" s="39">
        <f t="shared" si="7"/>
        <v>0</v>
      </c>
      <c r="N68" s="39">
        <f t="shared" si="8"/>
        <v>1.1818026000000001</v>
      </c>
      <c r="O68" s="39">
        <f t="shared" si="9"/>
        <v>0</v>
      </c>
      <c r="P68" s="39">
        <f t="shared" si="10"/>
        <v>1.07173275</v>
      </c>
      <c r="Q68" s="884">
        <f t="shared" si="11"/>
        <v>0</v>
      </c>
      <c r="R68" s="528"/>
    </row>
    <row r="69" spans="1:18" s="291" customFormat="1" ht="15" thickBot="1">
      <c r="A69" s="1288"/>
      <c r="B69" s="416"/>
      <c r="C69" s="614" t="s">
        <v>1129</v>
      </c>
      <c r="D69" s="885" t="s">
        <v>1130</v>
      </c>
      <c r="E69" s="612">
        <v>115.12</v>
      </c>
      <c r="F69" s="41">
        <f t="shared" si="0"/>
        <v>63.31600000000001</v>
      </c>
      <c r="G69" s="41">
        <f t="shared" si="1"/>
        <v>0</v>
      </c>
      <c r="H69" s="39">
        <f t="shared" si="2"/>
        <v>1.9862229200000003</v>
      </c>
      <c r="I69" s="40">
        <f t="shared" si="3"/>
        <v>0</v>
      </c>
      <c r="J69" s="39">
        <f t="shared" si="4"/>
        <v>1.7348584000000002</v>
      </c>
      <c r="K69" s="40">
        <f t="shared" si="5"/>
        <v>0</v>
      </c>
      <c r="L69" s="39">
        <f t="shared" si="6"/>
        <v>1.4436048000000004</v>
      </c>
      <c r="M69" s="39">
        <f t="shared" si="7"/>
        <v>0</v>
      </c>
      <c r="N69" s="39">
        <f t="shared" si="8"/>
        <v>1.2916464000000003</v>
      </c>
      <c r="O69" s="39">
        <f t="shared" si="9"/>
        <v>0</v>
      </c>
      <c r="P69" s="39">
        <f t="shared" si="10"/>
        <v>1.1713460000000002</v>
      </c>
      <c r="Q69" s="884">
        <f t="shared" si="11"/>
        <v>0</v>
      </c>
      <c r="R69" s="528"/>
    </row>
    <row r="70" spans="1:18" s="291" customFormat="1" ht="15" thickBot="1">
      <c r="A70" s="1288"/>
      <c r="B70" s="416"/>
      <c r="C70" s="614" t="s">
        <v>1119</v>
      </c>
      <c r="D70" s="885" t="s">
        <v>1120</v>
      </c>
      <c r="E70" s="612">
        <v>103.1</v>
      </c>
      <c r="F70" s="41">
        <f t="shared" si="0"/>
        <v>56.704999999999998</v>
      </c>
      <c r="G70" s="41">
        <f t="shared" si="1"/>
        <v>0</v>
      </c>
      <c r="H70" s="39">
        <f t="shared" si="2"/>
        <v>1.7788358500000001</v>
      </c>
      <c r="I70" s="40">
        <f t="shared" si="3"/>
        <v>0</v>
      </c>
      <c r="J70" s="39">
        <f t="shared" si="4"/>
        <v>1.553717</v>
      </c>
      <c r="K70" s="40">
        <f t="shared" si="5"/>
        <v>0</v>
      </c>
      <c r="L70" s="39">
        <f t="shared" si="6"/>
        <v>1.2928740000000001</v>
      </c>
      <c r="M70" s="39">
        <f t="shared" si="7"/>
        <v>0</v>
      </c>
      <c r="N70" s="39">
        <f t="shared" si="8"/>
        <v>1.156782</v>
      </c>
      <c r="O70" s="39">
        <f t="shared" si="9"/>
        <v>0</v>
      </c>
      <c r="P70" s="39">
        <f t="shared" si="10"/>
        <v>1.0490424999999999</v>
      </c>
      <c r="Q70" s="884">
        <f t="shared" si="11"/>
        <v>0</v>
      </c>
      <c r="R70" s="528"/>
    </row>
    <row r="71" spans="1:18" s="291" customFormat="1" ht="15" thickBot="1">
      <c r="A71" s="1288"/>
      <c r="B71" s="416"/>
      <c r="C71" s="614" t="s">
        <v>1155</v>
      </c>
      <c r="D71" s="885" t="s">
        <v>1156</v>
      </c>
      <c r="E71" s="612">
        <v>99.44</v>
      </c>
      <c r="F71" s="41">
        <f t="shared" si="0"/>
        <v>54.692</v>
      </c>
      <c r="G71" s="41">
        <f t="shared" si="1"/>
        <v>0</v>
      </c>
      <c r="H71" s="39">
        <f t="shared" si="2"/>
        <v>1.7156880400000001</v>
      </c>
      <c r="I71" s="40">
        <f t="shared" si="3"/>
        <v>0</v>
      </c>
      <c r="J71" s="39">
        <f t="shared" si="4"/>
        <v>1.4985608000000001</v>
      </c>
      <c r="K71" s="40">
        <f t="shared" si="5"/>
        <v>0</v>
      </c>
      <c r="L71" s="39">
        <f t="shared" si="6"/>
        <v>1.2469776000000001</v>
      </c>
      <c r="M71" s="39">
        <f t="shared" si="7"/>
        <v>0</v>
      </c>
      <c r="N71" s="39">
        <f t="shared" si="8"/>
        <v>1.1157168000000002</v>
      </c>
      <c r="O71" s="39">
        <f t="shared" si="9"/>
        <v>0</v>
      </c>
      <c r="P71" s="39">
        <f t="shared" si="10"/>
        <v>1.0118019999999999</v>
      </c>
      <c r="Q71" s="884">
        <f t="shared" si="11"/>
        <v>0</v>
      </c>
      <c r="R71" s="528"/>
    </row>
    <row r="72" spans="1:18" s="291" customFormat="1" ht="15" thickBot="1">
      <c r="A72" s="1288"/>
      <c r="B72" s="416"/>
      <c r="C72" s="614" t="s">
        <v>1157</v>
      </c>
      <c r="D72" s="885" t="s">
        <v>1158</v>
      </c>
      <c r="E72" s="612">
        <v>99.44</v>
      </c>
      <c r="F72" s="41">
        <f t="shared" si="0"/>
        <v>54.692</v>
      </c>
      <c r="G72" s="41">
        <f t="shared" si="1"/>
        <v>0</v>
      </c>
      <c r="H72" s="39">
        <f t="shared" si="2"/>
        <v>1.7156880400000001</v>
      </c>
      <c r="I72" s="40">
        <f t="shared" si="3"/>
        <v>0</v>
      </c>
      <c r="J72" s="39">
        <f t="shared" si="4"/>
        <v>1.4985608000000001</v>
      </c>
      <c r="K72" s="40">
        <f t="shared" si="5"/>
        <v>0</v>
      </c>
      <c r="L72" s="39">
        <f t="shared" si="6"/>
        <v>1.2469776000000001</v>
      </c>
      <c r="M72" s="39">
        <f t="shared" si="7"/>
        <v>0</v>
      </c>
      <c r="N72" s="39">
        <f t="shared" si="8"/>
        <v>1.1157168000000002</v>
      </c>
      <c r="O72" s="39">
        <f t="shared" si="9"/>
        <v>0</v>
      </c>
      <c r="P72" s="39">
        <f t="shared" si="10"/>
        <v>1.0118019999999999</v>
      </c>
      <c r="Q72" s="884">
        <f t="shared" si="11"/>
        <v>0</v>
      </c>
      <c r="R72" s="528"/>
    </row>
    <row r="73" spans="1:18" s="291" customFormat="1" ht="15" thickBot="1">
      <c r="A73" s="1288"/>
      <c r="B73" s="416"/>
      <c r="C73" s="614" t="s">
        <v>1159</v>
      </c>
      <c r="D73" s="885" t="s">
        <v>1160</v>
      </c>
      <c r="E73" s="612">
        <v>99.44</v>
      </c>
      <c r="F73" s="41">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39">
        <f t="shared" si="10"/>
        <v>1.0118019999999999</v>
      </c>
      <c r="Q73" s="884">
        <f t="shared" si="11"/>
        <v>0</v>
      </c>
      <c r="R73" s="528"/>
    </row>
    <row r="74" spans="1:18" s="291" customFormat="1" ht="15" thickBot="1">
      <c r="A74" s="1288"/>
      <c r="B74" s="416"/>
      <c r="C74" s="614" t="s">
        <v>1134</v>
      </c>
      <c r="D74" s="885" t="s">
        <v>1135</v>
      </c>
      <c r="E74" s="612">
        <v>5955.04</v>
      </c>
      <c r="F74" s="41">
        <f t="shared" si="0"/>
        <v>3275.2720000000004</v>
      </c>
      <c r="G74" s="41">
        <f t="shared" si="1"/>
        <v>0</v>
      </c>
      <c r="H74" s="39">
        <f t="shared" si="2"/>
        <v>102.74528264000001</v>
      </c>
      <c r="I74" s="40">
        <f t="shared" si="3"/>
        <v>0</v>
      </c>
      <c r="J74" s="39">
        <f t="shared" si="4"/>
        <v>89.742452800000009</v>
      </c>
      <c r="K74" s="40">
        <f t="shared" si="5"/>
        <v>0</v>
      </c>
      <c r="L74" s="39">
        <f t="shared" si="6"/>
        <v>74.676201600000013</v>
      </c>
      <c r="M74" s="39">
        <f t="shared" si="7"/>
        <v>0</v>
      </c>
      <c r="N74" s="39">
        <f t="shared" si="8"/>
        <v>66.815548800000016</v>
      </c>
      <c r="O74" s="39">
        <f t="shared" si="9"/>
        <v>0</v>
      </c>
      <c r="P74" s="39">
        <f t="shared" si="10"/>
        <v>60.592532000000006</v>
      </c>
      <c r="Q74" s="884">
        <f t="shared" si="11"/>
        <v>0</v>
      </c>
      <c r="R74" s="528"/>
    </row>
    <row r="75" spans="1:18" s="519" customFormat="1" ht="13.5" customHeight="1" thickBot="1">
      <c r="A75" s="1288"/>
      <c r="B75" s="416"/>
      <c r="C75" s="614" t="s">
        <v>1167</v>
      </c>
      <c r="D75" s="885" t="s">
        <v>1168</v>
      </c>
      <c r="E75" s="612">
        <v>24604.13</v>
      </c>
      <c r="F75" s="41">
        <f t="shared" si="0"/>
        <v>13532.271500000003</v>
      </c>
      <c r="G75" s="41">
        <f t="shared" si="1"/>
        <v>0</v>
      </c>
      <c r="H75" s="39">
        <f t="shared" si="2"/>
        <v>424.50735695500009</v>
      </c>
      <c r="I75" s="40">
        <f t="shared" si="3"/>
        <v>0</v>
      </c>
      <c r="J75" s="39">
        <f t="shared" si="4"/>
        <v>370.78423910000009</v>
      </c>
      <c r="K75" s="40">
        <f t="shared" si="5"/>
        <v>0</v>
      </c>
      <c r="L75" s="39">
        <f t="shared" si="6"/>
        <v>308.53579020000006</v>
      </c>
      <c r="M75" s="39">
        <f t="shared" si="7"/>
        <v>0</v>
      </c>
      <c r="N75" s="39">
        <f t="shared" si="8"/>
        <v>276.05833860000007</v>
      </c>
      <c r="O75" s="39">
        <f t="shared" si="9"/>
        <v>0</v>
      </c>
      <c r="P75" s="39">
        <f t="shared" si="10"/>
        <v>250.34702275000004</v>
      </c>
      <c r="Q75" s="884">
        <f t="shared" si="11"/>
        <v>0</v>
      </c>
      <c r="R75" s="528"/>
    </row>
    <row r="76" spans="1:18" s="291" customFormat="1" ht="15" thickBot="1">
      <c r="A76" s="1288"/>
      <c r="B76" s="416"/>
      <c r="C76" s="614">
        <v>7723000</v>
      </c>
      <c r="D76" s="885" t="s">
        <v>1131</v>
      </c>
      <c r="E76" s="612">
        <v>50817.919999999998</v>
      </c>
      <c r="F76" s="41">
        <f t="shared" si="0"/>
        <v>27949.856</v>
      </c>
      <c r="G76" s="41">
        <f t="shared" si="1"/>
        <v>0</v>
      </c>
      <c r="H76" s="39">
        <f t="shared" si="2"/>
        <v>876.78698272000008</v>
      </c>
      <c r="I76" s="40">
        <f t="shared" si="3"/>
        <v>0</v>
      </c>
      <c r="J76" s="39">
        <f t="shared" si="4"/>
        <v>765.82605439999998</v>
      </c>
      <c r="K76" s="40">
        <f t="shared" si="5"/>
        <v>0</v>
      </c>
      <c r="L76" s="39">
        <f t="shared" si="6"/>
        <v>637.25671680000005</v>
      </c>
      <c r="M76" s="39">
        <f t="shared" si="7"/>
        <v>0</v>
      </c>
      <c r="N76" s="39">
        <f t="shared" si="8"/>
        <v>570.17706240000007</v>
      </c>
      <c r="O76" s="39">
        <f t="shared" si="9"/>
        <v>0</v>
      </c>
      <c r="P76" s="39">
        <f t="shared" si="10"/>
        <v>517.07233599999995</v>
      </c>
      <c r="Q76" s="884">
        <f t="shared" si="11"/>
        <v>0</v>
      </c>
      <c r="R76" s="528"/>
    </row>
    <row r="77" spans="1:18" s="291" customFormat="1" ht="15" thickBot="1">
      <c r="A77" s="1288"/>
      <c r="B77" s="416"/>
      <c r="C77" s="614" t="s">
        <v>1148</v>
      </c>
      <c r="D77" s="885" t="s">
        <v>1149</v>
      </c>
      <c r="E77" s="612">
        <v>12126.4</v>
      </c>
      <c r="F77" s="41">
        <f t="shared" si="0"/>
        <v>6669.52</v>
      </c>
      <c r="G77" s="41">
        <f t="shared" si="1"/>
        <v>0</v>
      </c>
      <c r="H77" s="39">
        <f t="shared" si="2"/>
        <v>209.22284240000002</v>
      </c>
      <c r="I77" s="40">
        <f t="shared" si="3"/>
        <v>0</v>
      </c>
      <c r="J77" s="39">
        <f t="shared" si="4"/>
        <v>182.74484800000002</v>
      </c>
      <c r="K77" s="40">
        <f t="shared" si="5"/>
        <v>0</v>
      </c>
      <c r="L77" s="39">
        <f t="shared" si="6"/>
        <v>152.06505600000003</v>
      </c>
      <c r="M77" s="39">
        <f t="shared" si="7"/>
        <v>0</v>
      </c>
      <c r="N77" s="39">
        <f t="shared" si="8"/>
        <v>136.05820800000001</v>
      </c>
      <c r="O77" s="39">
        <f t="shared" si="9"/>
        <v>0</v>
      </c>
      <c r="P77" s="39">
        <f t="shared" si="10"/>
        <v>123.38612000000001</v>
      </c>
      <c r="Q77" s="884">
        <f t="shared" si="11"/>
        <v>0</v>
      </c>
      <c r="R77" s="528"/>
    </row>
    <row r="78" spans="1:18" s="291" customFormat="1" ht="13.5" thickBot="1">
      <c r="A78" s="1288"/>
      <c r="B78" s="416"/>
      <c r="C78" s="886" t="s">
        <v>1153</v>
      </c>
      <c r="D78" s="795" t="s">
        <v>1154</v>
      </c>
      <c r="E78" s="512">
        <v>1784.64</v>
      </c>
      <c r="F78" s="41">
        <f t="shared" si="0"/>
        <v>981.55200000000013</v>
      </c>
      <c r="G78" s="41">
        <f t="shared" si="1"/>
        <v>0</v>
      </c>
      <c r="H78" s="39">
        <f t="shared" si="2"/>
        <v>30.791286240000005</v>
      </c>
      <c r="I78" s="40">
        <f t="shared" si="3"/>
        <v>0</v>
      </c>
      <c r="J78" s="39">
        <f t="shared" si="4"/>
        <v>26.894524800000003</v>
      </c>
      <c r="K78" s="40">
        <f t="shared" si="5"/>
        <v>0</v>
      </c>
      <c r="L78" s="39">
        <f t="shared" si="6"/>
        <v>22.379385600000003</v>
      </c>
      <c r="M78" s="39">
        <f t="shared" si="7"/>
        <v>0</v>
      </c>
      <c r="N78" s="39">
        <f t="shared" si="8"/>
        <v>20.023660800000005</v>
      </c>
      <c r="O78" s="39">
        <f t="shared" si="9"/>
        <v>0</v>
      </c>
      <c r="P78" s="39">
        <f t="shared" si="10"/>
        <v>18.158712000000001</v>
      </c>
      <c r="Q78" s="884">
        <f t="shared" si="11"/>
        <v>0</v>
      </c>
      <c r="R78" s="528"/>
    </row>
    <row r="79" spans="1:18" s="291" customFormat="1" ht="29.25" thickBot="1">
      <c r="A79" s="1288"/>
      <c r="B79" s="416"/>
      <c r="C79" s="614" t="s">
        <v>3956</v>
      </c>
      <c r="D79" s="885" t="s">
        <v>3957</v>
      </c>
      <c r="E79" s="612">
        <v>384.77</v>
      </c>
      <c r="F79" s="41">
        <f t="shared" si="0"/>
        <v>211.62350000000001</v>
      </c>
      <c r="G79" s="41">
        <f t="shared" si="1"/>
        <v>0</v>
      </c>
      <c r="H79" s="39">
        <f t="shared" si="2"/>
        <v>6.6386291950000009</v>
      </c>
      <c r="I79" s="40">
        <f t="shared" si="3"/>
        <v>0</v>
      </c>
      <c r="J79" s="39">
        <f t="shared" si="4"/>
        <v>5.7984838999999999</v>
      </c>
      <c r="K79" s="40">
        <f t="shared" si="5"/>
        <v>0</v>
      </c>
      <c r="L79" s="39">
        <f t="shared" si="6"/>
        <v>4.8250158000000001</v>
      </c>
      <c r="M79" s="39">
        <f t="shared" si="7"/>
        <v>0</v>
      </c>
      <c r="N79" s="39">
        <f t="shared" si="8"/>
        <v>4.3171194000000002</v>
      </c>
      <c r="O79" s="39">
        <f t="shared" si="9"/>
        <v>0</v>
      </c>
      <c r="P79" s="39">
        <f t="shared" si="10"/>
        <v>3.9150347499999998</v>
      </c>
      <c r="Q79" s="884">
        <f t="shared" si="11"/>
        <v>0</v>
      </c>
      <c r="R79" s="528"/>
    </row>
    <row r="80" spans="1:18" s="291" customFormat="1" ht="29.25" thickBot="1">
      <c r="A80" s="1288"/>
      <c r="B80" s="416"/>
      <c r="C80" s="614" t="s">
        <v>1173</v>
      </c>
      <c r="D80" s="885" t="s">
        <v>1174</v>
      </c>
      <c r="E80" s="612">
        <v>2546.96</v>
      </c>
      <c r="F80" s="41">
        <f t="shared" si="0"/>
        <v>1400.8280000000002</v>
      </c>
      <c r="G80" s="41">
        <f t="shared" si="1"/>
        <v>0</v>
      </c>
      <c r="H80" s="39">
        <f t="shared" si="2"/>
        <v>43.943974360000006</v>
      </c>
      <c r="I80" s="40">
        <f t="shared" si="3"/>
        <v>0</v>
      </c>
      <c r="J80" s="39">
        <f t="shared" si="4"/>
        <v>38.382687200000007</v>
      </c>
      <c r="K80" s="40">
        <f t="shared" si="5"/>
        <v>0</v>
      </c>
      <c r="L80" s="39">
        <f t="shared" si="6"/>
        <v>31.938878400000007</v>
      </c>
      <c r="M80" s="39">
        <f t="shared" si="7"/>
        <v>0</v>
      </c>
      <c r="N80" s="39">
        <f t="shared" si="8"/>
        <v>28.576891200000006</v>
      </c>
      <c r="O80" s="39">
        <f t="shared" si="9"/>
        <v>0</v>
      </c>
      <c r="P80" s="39">
        <f t="shared" si="10"/>
        <v>25.915318000000003</v>
      </c>
      <c r="Q80" s="884">
        <f t="shared" si="11"/>
        <v>0</v>
      </c>
      <c r="R80" s="528"/>
    </row>
    <row r="81" spans="1:18" s="291" customFormat="1" ht="29.25" thickBot="1">
      <c r="A81" s="1288"/>
      <c r="B81" s="416"/>
      <c r="C81" s="614" t="s">
        <v>1175</v>
      </c>
      <c r="D81" s="885" t="s">
        <v>1176</v>
      </c>
      <c r="E81" s="612">
        <v>3566.16</v>
      </c>
      <c r="F81" s="41">
        <f t="shared" si="0"/>
        <v>1961.3880000000001</v>
      </c>
      <c r="G81" s="41">
        <f t="shared" si="1"/>
        <v>0</v>
      </c>
      <c r="H81" s="39">
        <f t="shared" si="2"/>
        <v>61.528741560000007</v>
      </c>
      <c r="I81" s="40">
        <f t="shared" si="3"/>
        <v>0</v>
      </c>
      <c r="J81" s="39">
        <f t="shared" si="4"/>
        <v>53.742031200000007</v>
      </c>
      <c r="K81" s="40">
        <f t="shared" si="5"/>
        <v>0</v>
      </c>
      <c r="L81" s="39">
        <f t="shared" si="6"/>
        <v>44.719646400000002</v>
      </c>
      <c r="M81" s="39">
        <f t="shared" si="7"/>
        <v>0</v>
      </c>
      <c r="N81" s="39">
        <f t="shared" si="8"/>
        <v>40.012315200000003</v>
      </c>
      <c r="O81" s="39">
        <f t="shared" si="9"/>
        <v>0</v>
      </c>
      <c r="P81" s="39">
        <f t="shared" si="10"/>
        <v>36.285678000000004</v>
      </c>
      <c r="Q81" s="884">
        <f t="shared" si="11"/>
        <v>0</v>
      </c>
      <c r="R81" s="528"/>
    </row>
    <row r="82" spans="1:18" s="291" customFormat="1" ht="15" thickBot="1">
      <c r="A82" s="1288"/>
      <c r="B82" s="416"/>
      <c r="C82" s="614" t="s">
        <v>1169</v>
      </c>
      <c r="D82" s="885" t="s">
        <v>1170</v>
      </c>
      <c r="E82" s="612">
        <v>3550.56</v>
      </c>
      <c r="F82" s="41">
        <f t="shared" si="0"/>
        <v>1952.8080000000002</v>
      </c>
      <c r="G82" s="41">
        <f t="shared" si="1"/>
        <v>0</v>
      </c>
      <c r="H82" s="39">
        <f t="shared" si="2"/>
        <v>61.259586960000014</v>
      </c>
      <c r="I82" s="40">
        <f t="shared" si="3"/>
        <v>0</v>
      </c>
      <c r="J82" s="39">
        <f t="shared" si="4"/>
        <v>53.506939200000005</v>
      </c>
      <c r="K82" s="40">
        <f t="shared" si="5"/>
        <v>0</v>
      </c>
      <c r="L82" s="39">
        <f t="shared" si="6"/>
        <v>44.524022400000007</v>
      </c>
      <c r="M82" s="39">
        <f t="shared" si="7"/>
        <v>0</v>
      </c>
      <c r="N82" s="39">
        <f t="shared" si="8"/>
        <v>39.837283200000009</v>
      </c>
      <c r="O82" s="39">
        <f t="shared" si="9"/>
        <v>0</v>
      </c>
      <c r="P82" s="39">
        <f t="shared" si="10"/>
        <v>36.126948000000006</v>
      </c>
      <c r="Q82" s="884">
        <f t="shared" si="11"/>
        <v>0</v>
      </c>
      <c r="R82" s="528"/>
    </row>
    <row r="83" spans="1:18" s="291" customFormat="1" ht="15" thickBot="1">
      <c r="A83" s="1288"/>
      <c r="B83" s="416"/>
      <c r="C83" s="614" t="s">
        <v>1138</v>
      </c>
      <c r="D83" s="885" t="s">
        <v>1139</v>
      </c>
      <c r="E83" s="612">
        <v>509.6</v>
      </c>
      <c r="F83" s="41">
        <f t="shared" si="0"/>
        <v>280.28000000000003</v>
      </c>
      <c r="G83" s="41">
        <f t="shared" si="1"/>
        <v>0</v>
      </c>
      <c r="H83" s="39">
        <f t="shared" si="2"/>
        <v>8.7923836000000009</v>
      </c>
      <c r="I83" s="40">
        <f t="shared" si="3"/>
        <v>0</v>
      </c>
      <c r="J83" s="39">
        <f t="shared" si="4"/>
        <v>7.6796720000000009</v>
      </c>
      <c r="K83" s="40">
        <f t="shared" si="5"/>
        <v>0</v>
      </c>
      <c r="L83" s="39">
        <f t="shared" si="6"/>
        <v>6.390384000000001</v>
      </c>
      <c r="M83" s="39">
        <f t="shared" si="7"/>
        <v>0</v>
      </c>
      <c r="N83" s="39">
        <f t="shared" si="8"/>
        <v>5.7177120000000006</v>
      </c>
      <c r="O83" s="39">
        <f t="shared" si="9"/>
        <v>0</v>
      </c>
      <c r="P83" s="39">
        <f t="shared" si="10"/>
        <v>5.1851799999999999</v>
      </c>
      <c r="Q83" s="884">
        <f t="shared" si="11"/>
        <v>0</v>
      </c>
      <c r="R83" s="528"/>
    </row>
    <row r="84" spans="1:18" s="291" customFormat="1" ht="29.25" thickBot="1">
      <c r="A84" s="1288"/>
      <c r="B84" s="416"/>
      <c r="C84" s="614" t="s">
        <v>1142</v>
      </c>
      <c r="D84" s="885" t="s">
        <v>1143</v>
      </c>
      <c r="E84" s="612">
        <v>1630.72</v>
      </c>
      <c r="F84" s="41">
        <f>E84*(1-45%)</f>
        <v>896.89600000000007</v>
      </c>
      <c r="G84" s="41">
        <f>F84*B84</f>
        <v>0</v>
      </c>
      <c r="H84" s="39">
        <f>F84*0.03137</f>
        <v>28.135627520000003</v>
      </c>
      <c r="I84" s="40">
        <f>H84*B84</f>
        <v>0</v>
      </c>
      <c r="J84" s="39">
        <f>F84*0.0274</f>
        <v>24.574950400000002</v>
      </c>
      <c r="K84" s="40">
        <f>J84*B84</f>
        <v>0</v>
      </c>
      <c r="L84" s="39">
        <f>F84*0.0228</f>
        <v>20.449228800000004</v>
      </c>
      <c r="M84" s="39">
        <f>L84*B84</f>
        <v>0</v>
      </c>
      <c r="N84" s="39">
        <f>F84*0.0204</f>
        <v>18.296678400000001</v>
      </c>
      <c r="O84" s="39">
        <f>N84*B84</f>
        <v>0</v>
      </c>
      <c r="P84" s="39">
        <f>F84*0.0185</f>
        <v>16.592576000000001</v>
      </c>
      <c r="Q84" s="884">
        <f>P84*B84</f>
        <v>0</v>
      </c>
      <c r="R84" s="528"/>
    </row>
    <row r="85" spans="1:18" s="291" customFormat="1" ht="15" thickBot="1">
      <c r="A85" s="1288"/>
      <c r="B85" s="416"/>
      <c r="C85" s="614" t="s">
        <v>1144</v>
      </c>
      <c r="D85" s="885" t="s">
        <v>1145</v>
      </c>
      <c r="E85" s="612">
        <v>949.52</v>
      </c>
      <c r="F85" s="41">
        <f>E85*(1-45%)</f>
        <v>522.23599999999999</v>
      </c>
      <c r="G85" s="41">
        <f>F85*B85</f>
        <v>0</v>
      </c>
      <c r="H85" s="39">
        <f>F85*0.03137</f>
        <v>16.38254332</v>
      </c>
      <c r="I85" s="40">
        <f>H85*B85</f>
        <v>0</v>
      </c>
      <c r="J85" s="39">
        <f>F85*0.0274</f>
        <v>14.3092664</v>
      </c>
      <c r="K85" s="40">
        <f>J85*B85</f>
        <v>0</v>
      </c>
      <c r="L85" s="39">
        <f>F85*0.0228</f>
        <v>11.906980799999999</v>
      </c>
      <c r="M85" s="39">
        <f>L85*B85</f>
        <v>0</v>
      </c>
      <c r="N85" s="39">
        <f>F85*0.0204</f>
        <v>10.6536144</v>
      </c>
      <c r="O85" s="39">
        <f>N85*B85</f>
        <v>0</v>
      </c>
      <c r="P85" s="39">
        <f>F85*0.0185</f>
        <v>9.6613659999999992</v>
      </c>
      <c r="Q85" s="884">
        <f>P85*B85</f>
        <v>0</v>
      </c>
      <c r="R85" s="528"/>
    </row>
    <row r="86" spans="1:18" s="519" customFormat="1" ht="32.25" customHeight="1" thickBot="1">
      <c r="A86" s="1288"/>
      <c r="B86" s="416"/>
      <c r="C86" s="614" t="s">
        <v>1152</v>
      </c>
      <c r="D86" s="885" t="s">
        <v>1231</v>
      </c>
      <c r="E86" s="612">
        <v>4345.12</v>
      </c>
      <c r="F86" s="41">
        <f t="shared" si="0"/>
        <v>2389.8160000000003</v>
      </c>
      <c r="G86" s="41">
        <f t="shared" si="1"/>
        <v>0</v>
      </c>
      <c r="H86" s="39">
        <f t="shared" si="2"/>
        <v>74.968527920000014</v>
      </c>
      <c r="I86" s="40">
        <f t="shared" si="3"/>
        <v>0</v>
      </c>
      <c r="J86" s="39">
        <f t="shared" si="4"/>
        <v>65.480958400000006</v>
      </c>
      <c r="K86" s="40">
        <f t="shared" si="5"/>
        <v>0</v>
      </c>
      <c r="L86" s="39">
        <f t="shared" si="6"/>
        <v>54.487804800000006</v>
      </c>
      <c r="M86" s="39">
        <f t="shared" si="7"/>
        <v>0</v>
      </c>
      <c r="N86" s="39">
        <f t="shared" si="8"/>
        <v>48.752246400000011</v>
      </c>
      <c r="O86" s="39">
        <f t="shared" si="9"/>
        <v>0</v>
      </c>
      <c r="P86" s="39">
        <f t="shared" si="10"/>
        <v>44.211596</v>
      </c>
      <c r="Q86" s="884">
        <f t="shared" si="11"/>
        <v>0</v>
      </c>
      <c r="R86" s="528"/>
    </row>
    <row r="87" spans="1:18" s="291" customFormat="1" ht="15" thickBot="1">
      <c r="A87" s="1288"/>
      <c r="B87" s="416"/>
      <c r="C87" s="614" t="s">
        <v>1171</v>
      </c>
      <c r="D87" s="885" t="s">
        <v>1172</v>
      </c>
      <c r="E87" s="612">
        <v>7385.04</v>
      </c>
      <c r="F87" s="41">
        <f t="shared" si="0"/>
        <v>4061.7720000000004</v>
      </c>
      <c r="G87" s="41">
        <f t="shared" si="1"/>
        <v>0</v>
      </c>
      <c r="H87" s="39">
        <f t="shared" si="2"/>
        <v>127.41778764000001</v>
      </c>
      <c r="I87" s="40">
        <f t="shared" si="3"/>
        <v>0</v>
      </c>
      <c r="J87" s="39">
        <f t="shared" si="4"/>
        <v>111.29255280000001</v>
      </c>
      <c r="K87" s="40">
        <f t="shared" si="5"/>
        <v>0</v>
      </c>
      <c r="L87" s="39">
        <f t="shared" si="6"/>
        <v>92.608401600000008</v>
      </c>
      <c r="M87" s="39">
        <f t="shared" si="7"/>
        <v>0</v>
      </c>
      <c r="N87" s="39">
        <f t="shared" si="8"/>
        <v>82.860148800000019</v>
      </c>
      <c r="O87" s="39">
        <f t="shared" si="9"/>
        <v>0</v>
      </c>
      <c r="P87" s="39">
        <f t="shared" si="10"/>
        <v>75.142781999999997</v>
      </c>
      <c r="Q87" s="884">
        <f t="shared" si="11"/>
        <v>0</v>
      </c>
      <c r="R87" s="528"/>
    </row>
    <row r="88" spans="1:18" s="291" customFormat="1" ht="15" thickBot="1">
      <c r="A88" s="1288"/>
      <c r="B88" s="416"/>
      <c r="C88" s="614" t="s">
        <v>1132</v>
      </c>
      <c r="D88" s="885" t="s">
        <v>1133</v>
      </c>
      <c r="E88" s="612">
        <v>1274</v>
      </c>
      <c r="F88" s="41">
        <f t="shared" si="0"/>
        <v>700.7</v>
      </c>
      <c r="G88" s="41">
        <f t="shared" si="1"/>
        <v>0</v>
      </c>
      <c r="H88" s="39">
        <f t="shared" si="2"/>
        <v>21.980959000000002</v>
      </c>
      <c r="I88" s="40">
        <f t="shared" si="3"/>
        <v>0</v>
      </c>
      <c r="J88" s="39">
        <f t="shared" si="4"/>
        <v>19.199180000000002</v>
      </c>
      <c r="K88" s="40">
        <f t="shared" si="5"/>
        <v>0</v>
      </c>
      <c r="L88" s="39">
        <f t="shared" si="6"/>
        <v>15.975960000000002</v>
      </c>
      <c r="M88" s="39">
        <f t="shared" si="7"/>
        <v>0</v>
      </c>
      <c r="N88" s="39">
        <f t="shared" si="8"/>
        <v>14.294280000000002</v>
      </c>
      <c r="O88" s="39">
        <f t="shared" si="9"/>
        <v>0</v>
      </c>
      <c r="P88" s="39">
        <f t="shared" si="10"/>
        <v>12.962950000000001</v>
      </c>
      <c r="Q88" s="884">
        <f t="shared" si="11"/>
        <v>0</v>
      </c>
      <c r="R88" s="528"/>
    </row>
    <row r="89" spans="1:18" s="291" customFormat="1" ht="15" thickBot="1">
      <c r="A89" s="1288"/>
      <c r="B89" s="416"/>
      <c r="C89" s="614" t="s">
        <v>1150</v>
      </c>
      <c r="D89" s="885" t="s">
        <v>1151</v>
      </c>
      <c r="E89" s="612">
        <v>955.76</v>
      </c>
      <c r="F89" s="41">
        <f t="shared" si="0"/>
        <v>525.66800000000001</v>
      </c>
      <c r="G89" s="41">
        <f t="shared" si="1"/>
        <v>0</v>
      </c>
      <c r="H89" s="39">
        <f t="shared" si="2"/>
        <v>16.490205160000002</v>
      </c>
      <c r="I89" s="40">
        <f t="shared" si="3"/>
        <v>0</v>
      </c>
      <c r="J89" s="39">
        <f t="shared" si="4"/>
        <v>14.4033032</v>
      </c>
      <c r="K89" s="40">
        <f t="shared" si="5"/>
        <v>0</v>
      </c>
      <c r="L89" s="39">
        <f t="shared" si="6"/>
        <v>11.985230400000001</v>
      </c>
      <c r="M89" s="39">
        <f t="shared" si="7"/>
        <v>0</v>
      </c>
      <c r="N89" s="39">
        <f t="shared" si="8"/>
        <v>10.723627200000001</v>
      </c>
      <c r="O89" s="39">
        <f t="shared" si="9"/>
        <v>0</v>
      </c>
      <c r="P89" s="39">
        <f t="shared" si="10"/>
        <v>9.7248579999999993</v>
      </c>
      <c r="Q89" s="884">
        <f t="shared" si="11"/>
        <v>0</v>
      </c>
      <c r="R89" s="528"/>
    </row>
    <row r="90" spans="1:18" s="291" customFormat="1" ht="15" thickBot="1">
      <c r="A90" s="1288"/>
      <c r="B90" s="416"/>
      <c r="C90" s="614" t="s">
        <v>1146</v>
      </c>
      <c r="D90" s="885" t="s">
        <v>1147</v>
      </c>
      <c r="E90" s="612">
        <v>10067.200000000001</v>
      </c>
      <c r="F90" s="41">
        <f t="shared" si="0"/>
        <v>5536.9600000000009</v>
      </c>
      <c r="G90" s="41">
        <f t="shared" si="1"/>
        <v>0</v>
      </c>
      <c r="H90" s="39">
        <f t="shared" si="2"/>
        <v>173.69443520000004</v>
      </c>
      <c r="I90" s="40">
        <f t="shared" si="3"/>
        <v>0</v>
      </c>
      <c r="J90" s="39">
        <f t="shared" si="4"/>
        <v>151.71270400000003</v>
      </c>
      <c r="K90" s="40">
        <f t="shared" si="5"/>
        <v>0</v>
      </c>
      <c r="L90" s="39">
        <f t="shared" si="6"/>
        <v>126.24268800000003</v>
      </c>
      <c r="M90" s="39">
        <f t="shared" si="7"/>
        <v>0</v>
      </c>
      <c r="N90" s="39">
        <f t="shared" si="8"/>
        <v>112.95398400000003</v>
      </c>
      <c r="O90" s="39">
        <f t="shared" si="9"/>
        <v>0</v>
      </c>
      <c r="P90" s="39">
        <f t="shared" si="10"/>
        <v>102.43376000000001</v>
      </c>
      <c r="Q90" s="884">
        <f t="shared" si="11"/>
        <v>0</v>
      </c>
      <c r="R90" s="528"/>
    </row>
    <row r="91" spans="1:18" s="519" customFormat="1" ht="15" thickBot="1">
      <c r="A91" s="1288"/>
      <c r="B91" s="416"/>
      <c r="C91" s="614" t="s">
        <v>1136</v>
      </c>
      <c r="D91" s="885" t="s">
        <v>1137</v>
      </c>
      <c r="E91" s="612">
        <v>2263.04</v>
      </c>
      <c r="F91" s="41">
        <f t="shared" si="0"/>
        <v>1244.672</v>
      </c>
      <c r="G91" s="41">
        <f t="shared" si="1"/>
        <v>0</v>
      </c>
      <c r="H91" s="39">
        <f t="shared" si="2"/>
        <v>39.045360640000006</v>
      </c>
      <c r="I91" s="40">
        <f t="shared" si="3"/>
        <v>0</v>
      </c>
      <c r="J91" s="39">
        <f t="shared" si="4"/>
        <v>34.1040128</v>
      </c>
      <c r="K91" s="40">
        <f t="shared" si="5"/>
        <v>0</v>
      </c>
      <c r="L91" s="39">
        <f t="shared" si="6"/>
        <v>28.378521600000003</v>
      </c>
      <c r="M91" s="39">
        <f t="shared" si="7"/>
        <v>0</v>
      </c>
      <c r="N91" s="39">
        <f t="shared" si="8"/>
        <v>25.391308800000001</v>
      </c>
      <c r="O91" s="39">
        <f t="shared" si="9"/>
        <v>0</v>
      </c>
      <c r="P91" s="39">
        <f t="shared" si="10"/>
        <v>23.026432</v>
      </c>
      <c r="Q91" s="884">
        <f t="shared" si="11"/>
        <v>0</v>
      </c>
      <c r="R91" s="528"/>
    </row>
    <row r="92" spans="1:18" s="291" customFormat="1" ht="13.5" thickBot="1">
      <c r="A92" s="1289"/>
      <c r="B92" s="416"/>
      <c r="C92" s="511" t="s">
        <v>1140</v>
      </c>
      <c r="D92" s="795" t="s">
        <v>1141</v>
      </c>
      <c r="E92" s="512">
        <v>6303.44</v>
      </c>
      <c r="F92" s="41">
        <f t="shared" si="0"/>
        <v>3466.8920000000003</v>
      </c>
      <c r="G92" s="41">
        <f t="shared" si="1"/>
        <v>0</v>
      </c>
      <c r="H92" s="39">
        <f t="shared" si="2"/>
        <v>108.75640204000001</v>
      </c>
      <c r="I92" s="40">
        <f t="shared" si="3"/>
        <v>0</v>
      </c>
      <c r="J92" s="39">
        <f t="shared" si="4"/>
        <v>94.99284080000001</v>
      </c>
      <c r="K92" s="40">
        <f t="shared" si="5"/>
        <v>0</v>
      </c>
      <c r="L92" s="39">
        <f t="shared" si="6"/>
        <v>79.045137600000004</v>
      </c>
      <c r="M92" s="39">
        <f t="shared" si="7"/>
        <v>0</v>
      </c>
      <c r="N92" s="39">
        <f t="shared" si="8"/>
        <v>70.724596800000015</v>
      </c>
      <c r="O92" s="39">
        <f t="shared" si="9"/>
        <v>0</v>
      </c>
      <c r="P92" s="39">
        <f t="shared" si="10"/>
        <v>64.137501999999998</v>
      </c>
      <c r="Q92" s="884">
        <f t="shared" si="11"/>
        <v>0</v>
      </c>
      <c r="R92" s="528"/>
    </row>
    <row r="93" spans="1:18" s="291" customFormat="1" ht="15">
      <c r="A93" s="519"/>
      <c r="B93" s="258"/>
      <c r="C93" s="258"/>
      <c r="D93" s="1183" t="s">
        <v>65</v>
      </c>
      <c r="E93" s="1009"/>
      <c r="F93" s="1009"/>
      <c r="G93" s="520">
        <f>SUM(G36:G92)+G33</f>
        <v>0</v>
      </c>
      <c r="H93" s="329" t="s">
        <v>67</v>
      </c>
      <c r="I93" s="520">
        <f>SUM(I36:I92)+I33</f>
        <v>0</v>
      </c>
      <c r="J93" s="329" t="s">
        <v>68</v>
      </c>
      <c r="K93" s="520">
        <f>SUM(K36:K92)+K33</f>
        <v>0</v>
      </c>
      <c r="L93" s="329" t="s">
        <v>69</v>
      </c>
      <c r="M93" s="520">
        <f>SUM(M36:M92)+M33</f>
        <v>0</v>
      </c>
      <c r="N93" s="329" t="s">
        <v>860</v>
      </c>
      <c r="O93" s="520">
        <f>SUM(O36:O92)+O33</f>
        <v>0</v>
      </c>
      <c r="P93" s="329" t="s">
        <v>861</v>
      </c>
      <c r="Q93" s="520">
        <f>SUM(Q36:Q92)+Q33</f>
        <v>0</v>
      </c>
    </row>
    <row r="94" spans="1:18" s="291" customFormat="1">
      <c r="A94" s="315"/>
      <c r="B94" s="256"/>
      <c r="C94" s="256"/>
      <c r="D94" s="315"/>
      <c r="E94" s="315"/>
      <c r="F94" s="456"/>
      <c r="G94" s="456"/>
      <c r="H94" s="315"/>
      <c r="I94" s="315"/>
      <c r="J94" s="315"/>
      <c r="K94" s="315"/>
      <c r="L94" s="315"/>
      <c r="M94" s="315"/>
      <c r="N94" s="315"/>
      <c r="O94" s="315"/>
      <c r="P94" s="315"/>
      <c r="Q94" s="315"/>
    </row>
    <row r="95" spans="1:18" s="291" customFormat="1" ht="15.75">
      <c r="A95" s="256"/>
      <c r="B95" s="521"/>
      <c r="C95" s="521"/>
      <c r="D95" s="522"/>
      <c r="E95" s="522"/>
      <c r="F95" s="523"/>
      <c r="G95" s="333"/>
      <c r="H95" s="256"/>
      <c r="I95" s="256"/>
      <c r="J95" s="256"/>
      <c r="K95" s="256"/>
      <c r="L95" s="256"/>
      <c r="M95" s="256"/>
      <c r="N95" s="256"/>
      <c r="O95" s="256"/>
      <c r="P95" s="256"/>
      <c r="Q95" s="256"/>
    </row>
    <row r="96" spans="1:18" s="519" customFormat="1">
      <c r="A96" s="256"/>
      <c r="B96" s="256"/>
      <c r="C96" s="256"/>
      <c r="D96" s="256"/>
      <c r="E96" s="256"/>
      <c r="F96" s="523"/>
      <c r="G96" s="333"/>
      <c r="H96" s="256"/>
      <c r="I96" s="256"/>
      <c r="J96" s="256"/>
      <c r="K96" s="256"/>
      <c r="L96" s="256"/>
      <c r="M96" s="256"/>
      <c r="N96" s="256"/>
      <c r="O96" s="256"/>
      <c r="P96" s="256"/>
      <c r="Q96" s="256"/>
    </row>
    <row r="97" spans="1:17" s="519" customFormat="1">
      <c r="A97" s="256"/>
      <c r="B97" s="256"/>
      <c r="C97" s="256"/>
      <c r="D97" s="256"/>
      <c r="E97" s="256"/>
      <c r="F97" s="333"/>
      <c r="G97" s="333"/>
      <c r="H97" s="256"/>
      <c r="I97" s="256"/>
      <c r="J97" s="256"/>
      <c r="K97" s="256"/>
      <c r="L97" s="256"/>
      <c r="M97" s="256"/>
      <c r="N97" s="256"/>
      <c r="O97" s="256"/>
      <c r="P97" s="256"/>
      <c r="Q97" s="256"/>
    </row>
    <row r="98" spans="1:17" s="524" customFormat="1" hidden="1">
      <c r="A98" s="256"/>
      <c r="B98" s="256"/>
      <c r="C98" s="256"/>
      <c r="D98" s="256"/>
      <c r="E98" s="256"/>
      <c r="F98" s="333"/>
      <c r="G98" s="333"/>
      <c r="H98" s="256"/>
      <c r="I98" s="256"/>
      <c r="J98" s="256"/>
      <c r="K98" s="256"/>
      <c r="L98" s="256"/>
      <c r="M98" s="256"/>
      <c r="N98" s="256"/>
      <c r="O98" s="256"/>
      <c r="P98" s="256"/>
      <c r="Q98" s="256"/>
    </row>
    <row r="99" spans="1:17" s="519" customFormat="1">
      <c r="A99" s="256"/>
      <c r="B99" s="256"/>
      <c r="C99" s="256"/>
      <c r="D99" s="256"/>
      <c r="E99" s="256"/>
      <c r="F99" s="333"/>
      <c r="G99" s="333"/>
      <c r="H99" s="256"/>
      <c r="I99" s="256"/>
      <c r="J99" s="256"/>
      <c r="K99" s="256"/>
      <c r="L99" s="256"/>
      <c r="M99" s="256"/>
      <c r="N99" s="256"/>
      <c r="O99" s="256"/>
      <c r="P99" s="256"/>
      <c r="Q99" s="256"/>
    </row>
    <row r="100" spans="1:17" s="315" customFormat="1">
      <c r="A100" s="256"/>
      <c r="B100" s="256"/>
      <c r="C100" s="256"/>
      <c r="D100" s="256"/>
      <c r="E100" s="256"/>
      <c r="F100" s="333"/>
      <c r="G100" s="333"/>
      <c r="H100" s="256"/>
      <c r="I100" s="256"/>
      <c r="J100" s="256"/>
      <c r="K100" s="256"/>
      <c r="L100" s="256"/>
      <c r="M100" s="256"/>
      <c r="N100" s="256"/>
      <c r="O100" s="256"/>
      <c r="P100" s="256"/>
      <c r="Q100" s="256"/>
    </row>
    <row r="113" spans="2:3">
      <c r="B113" s="258"/>
      <c r="C113" s="258"/>
    </row>
  </sheetData>
  <mergeCells count="20">
    <mergeCell ref="A27:Q27"/>
    <mergeCell ref="A4:O4"/>
    <mergeCell ref="A5:O5"/>
    <mergeCell ref="H8:J8"/>
    <mergeCell ref="G11:H11"/>
    <mergeCell ref="D22:D23"/>
    <mergeCell ref="Q33:Q34"/>
    <mergeCell ref="A35:Q35"/>
    <mergeCell ref="A36:A92"/>
    <mergeCell ref="D93:F93"/>
    <mergeCell ref="A28:Q28"/>
    <mergeCell ref="F31:G31"/>
    <mergeCell ref="H31:Q31"/>
    <mergeCell ref="A33:A34"/>
    <mergeCell ref="B33:B34"/>
    <mergeCell ref="G33:G34"/>
    <mergeCell ref="I33:I34"/>
    <mergeCell ref="K33:K34"/>
    <mergeCell ref="M33:M34"/>
    <mergeCell ref="O33:O34"/>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5937-692F-4A44-8860-B50E4B8F24FE}">
  <sheetPr>
    <tabColor indexed="62"/>
  </sheetPr>
  <dimension ref="A1:Q157"/>
  <sheetViews>
    <sheetView topLeftCell="A5" zoomScale="96" zoomScaleNormal="96" workbookViewId="0">
      <selection activeCell="E30" sqref="E30"/>
    </sheetView>
  </sheetViews>
  <sheetFormatPr defaultColWidth="8.85546875" defaultRowHeight="12.75"/>
  <cols>
    <col min="1" max="1" width="15" style="256" customWidth="1"/>
    <col min="2" max="2" width="10" style="256" customWidth="1"/>
    <col min="3" max="3" width="14" style="256" customWidth="1"/>
    <col min="4" max="4" width="44.42578125" style="256" customWidth="1"/>
    <col min="5" max="5" width="17.42578125" style="256" customWidth="1"/>
    <col min="6" max="6" width="15.5703125" style="333" customWidth="1"/>
    <col min="7" max="7" width="23.42578125" style="333" customWidth="1"/>
    <col min="8" max="8" width="28.28515625" style="256" bestFit="1" customWidth="1"/>
    <col min="9" max="9" width="19" style="256" customWidth="1"/>
    <col min="10" max="10" width="25" style="256" bestFit="1" customWidth="1"/>
    <col min="11" max="11" width="19" style="256" customWidth="1"/>
    <col min="12" max="12" width="25" style="256" bestFit="1" customWidth="1"/>
    <col min="13" max="13" width="18.42578125" style="256" customWidth="1"/>
    <col min="14" max="14" width="25" style="256" bestFit="1" customWidth="1"/>
    <col min="15" max="15" width="19.28515625" style="256" customWidth="1"/>
    <col min="16" max="16" width="25" style="256" bestFit="1" customWidth="1"/>
    <col min="17" max="17" width="19.28515625" style="256" customWidth="1"/>
    <col min="18" max="16384" width="8.85546875" style="256"/>
  </cols>
  <sheetData>
    <row r="1" spans="1:17" ht="13.5" thickBot="1">
      <c r="B1" s="257"/>
      <c r="C1" s="257"/>
      <c r="D1" s="258"/>
      <c r="E1" s="258"/>
      <c r="F1" s="259"/>
      <c r="G1" s="259"/>
      <c r="H1" s="259"/>
      <c r="I1" s="259"/>
      <c r="J1" s="259"/>
      <c r="K1" s="258"/>
      <c r="L1" s="259"/>
    </row>
    <row r="2" spans="1:17" ht="9" customHeight="1">
      <c r="A2" s="260"/>
      <c r="B2" s="261"/>
      <c r="C2" s="261"/>
      <c r="D2" s="262"/>
      <c r="E2" s="262"/>
      <c r="F2" s="263"/>
      <c r="G2" s="263"/>
      <c r="H2" s="263"/>
      <c r="I2" s="264"/>
      <c r="J2" s="264"/>
      <c r="K2" s="264"/>
      <c r="L2" s="264"/>
      <c r="M2" s="260"/>
      <c r="N2" s="260"/>
      <c r="O2" s="260"/>
      <c r="P2" s="260"/>
      <c r="Q2" s="260"/>
    </row>
    <row r="3" spans="1:17" ht="10.5" customHeight="1">
      <c r="B3" s="257"/>
      <c r="C3" s="257"/>
      <c r="D3" s="258"/>
      <c r="E3" s="258"/>
      <c r="F3" s="259"/>
      <c r="G3" s="259"/>
      <c r="H3" s="259"/>
      <c r="I3" s="265"/>
      <c r="J3" s="265"/>
      <c r="K3" s="265"/>
      <c r="L3" s="265"/>
    </row>
    <row r="4" spans="1:17" ht="36" customHeight="1">
      <c r="A4" s="1112" t="s">
        <v>1178</v>
      </c>
      <c r="B4" s="1020"/>
      <c r="C4" s="1020"/>
      <c r="D4" s="1020"/>
      <c r="E4" s="1020"/>
      <c r="F4" s="1020"/>
      <c r="G4" s="1020"/>
      <c r="H4" s="1020"/>
      <c r="I4" s="1020"/>
      <c r="J4" s="1020"/>
      <c r="K4" s="1020"/>
      <c r="L4" s="1020"/>
      <c r="M4" s="1020"/>
      <c r="N4" s="1020"/>
      <c r="O4" s="1020"/>
    </row>
    <row r="5" spans="1:17" s="266" customFormat="1" ht="41.25" customHeight="1">
      <c r="A5" s="1188" t="s">
        <v>1179</v>
      </c>
      <c r="B5" s="1045"/>
      <c r="C5" s="1045"/>
      <c r="D5" s="1045"/>
      <c r="E5" s="1045"/>
      <c r="F5" s="1045"/>
      <c r="G5" s="1045"/>
      <c r="H5" s="1045"/>
      <c r="I5" s="1045"/>
      <c r="J5" s="1045"/>
      <c r="K5" s="1045"/>
      <c r="L5" s="1045"/>
      <c r="M5" s="1045"/>
      <c r="N5" s="1045"/>
      <c r="O5" s="1045"/>
    </row>
    <row r="6" spans="1:17" ht="9" customHeight="1" thickBot="1">
      <c r="A6" s="267"/>
      <c r="B6" s="267"/>
      <c r="C6" s="267"/>
      <c r="D6" s="267"/>
      <c r="E6" s="267"/>
      <c r="F6" s="267"/>
      <c r="G6" s="267"/>
      <c r="H6" s="267"/>
      <c r="I6" s="267"/>
      <c r="J6" s="267"/>
      <c r="K6" s="267"/>
      <c r="L6" s="506"/>
      <c r="M6" s="267"/>
      <c r="N6" s="267"/>
      <c r="O6" s="267"/>
      <c r="P6" s="267"/>
      <c r="Q6" s="267"/>
    </row>
    <row r="7" spans="1:17" s="265" customFormat="1" ht="14.25">
      <c r="B7" s="268"/>
      <c r="C7" s="268"/>
      <c r="D7" s="269"/>
      <c r="E7" s="269"/>
      <c r="F7" s="269"/>
      <c r="G7" s="269"/>
      <c r="H7" s="269"/>
      <c r="I7" s="269"/>
      <c r="J7" s="269"/>
      <c r="K7" s="269"/>
      <c r="L7" s="269"/>
      <c r="M7" s="269"/>
      <c r="N7" s="269"/>
      <c r="O7" s="269"/>
      <c r="P7" s="269"/>
      <c r="Q7" s="269"/>
    </row>
    <row r="8" spans="1:17" s="265" customFormat="1" ht="14.25">
      <c r="F8" s="446"/>
      <c r="G8" s="446"/>
      <c r="H8" s="1179" t="s">
        <v>0</v>
      </c>
      <c r="I8" s="1179"/>
      <c r="J8" s="1179"/>
      <c r="K8" s="507"/>
    </row>
    <row r="9" spans="1:17" s="265" customFormat="1" ht="14.25">
      <c r="H9" s="161" t="s">
        <v>1</v>
      </c>
      <c r="I9" s="185" t="s">
        <v>1046</v>
      </c>
      <c r="J9" s="185"/>
      <c r="L9" s="282"/>
    </row>
    <row r="10" spans="1:17" s="265" customFormat="1">
      <c r="F10" s="446"/>
      <c r="G10" s="446"/>
      <c r="H10" s="181" t="s">
        <v>8</v>
      </c>
      <c r="I10" s="185" t="s">
        <v>1180</v>
      </c>
      <c r="J10" s="185"/>
      <c r="L10" s="282"/>
    </row>
    <row r="11" spans="1:17" s="265" customFormat="1">
      <c r="F11" s="446"/>
      <c r="G11" s="446"/>
      <c r="H11" s="181" t="s">
        <v>10</v>
      </c>
      <c r="I11" s="185" t="s">
        <v>11</v>
      </c>
      <c r="J11" s="185"/>
      <c r="L11" s="282"/>
    </row>
    <row r="12" spans="1:17" s="265" customFormat="1">
      <c r="B12" s="508"/>
      <c r="C12" s="508"/>
      <c r="F12" s="446"/>
      <c r="G12" s="446"/>
      <c r="H12" s="181" t="s">
        <v>183</v>
      </c>
      <c r="I12" s="185" t="s">
        <v>1181</v>
      </c>
      <c r="J12" s="185"/>
      <c r="L12" s="282"/>
    </row>
    <row r="13" spans="1:17" s="265" customFormat="1">
      <c r="F13" s="302"/>
      <c r="G13" s="302"/>
      <c r="H13" s="181" t="s">
        <v>185</v>
      </c>
      <c r="I13" s="185" t="s">
        <v>1182</v>
      </c>
      <c r="J13" s="185"/>
      <c r="L13" s="282"/>
    </row>
    <row r="14" spans="1:17" s="265" customFormat="1">
      <c r="F14" s="446"/>
      <c r="G14" s="446"/>
      <c r="H14" s="181" t="s">
        <v>14</v>
      </c>
      <c r="I14" s="185" t="s">
        <v>1055</v>
      </c>
      <c r="J14" s="185"/>
      <c r="L14" s="282"/>
    </row>
    <row r="15" spans="1:17" s="265" customFormat="1">
      <c r="F15" s="446"/>
      <c r="G15" s="446"/>
      <c r="H15" s="157"/>
      <c r="I15" s="157" t="s">
        <v>1183</v>
      </c>
      <c r="J15" s="157"/>
      <c r="L15" s="282"/>
    </row>
    <row r="16" spans="1:17" s="265" customFormat="1">
      <c r="H16" s="157"/>
      <c r="I16" s="157" t="s">
        <v>1057</v>
      </c>
      <c r="J16" s="157"/>
    </row>
    <row r="17" spans="1:17" s="265" customFormat="1">
      <c r="H17" s="181" t="s">
        <v>16</v>
      </c>
      <c r="I17" s="157" t="s">
        <v>1184</v>
      </c>
      <c r="J17" s="157"/>
    </row>
    <row r="18" spans="1:17" s="265" customFormat="1">
      <c r="H18" s="181" t="s">
        <v>18</v>
      </c>
      <c r="I18" s="157" t="s">
        <v>1059</v>
      </c>
      <c r="J18" s="157"/>
    </row>
    <row r="19" spans="1:17" s="265" customFormat="1">
      <c r="H19" s="181" t="s">
        <v>20</v>
      </c>
      <c r="I19" s="157" t="s">
        <v>1185</v>
      </c>
      <c r="J19" s="157"/>
    </row>
    <row r="20" spans="1:17" s="265" customFormat="1" ht="14.25">
      <c r="D20" s="1047"/>
      <c r="E20" s="277"/>
      <c r="H20" s="181" t="s">
        <v>22</v>
      </c>
      <c r="I20" s="157" t="s">
        <v>1186</v>
      </c>
      <c r="J20" s="157"/>
    </row>
    <row r="21" spans="1:17" s="265" customFormat="1" ht="14.25">
      <c r="D21" s="1047"/>
      <c r="E21" s="277"/>
      <c r="H21" s="181" t="s">
        <v>24</v>
      </c>
      <c r="I21" s="157" t="s">
        <v>1187</v>
      </c>
      <c r="J21" s="157"/>
    </row>
    <row r="22" spans="1:17" s="265" customFormat="1">
      <c r="F22" s="446"/>
      <c r="G22" s="446"/>
      <c r="H22" s="181" t="s">
        <v>26</v>
      </c>
      <c r="I22" s="185" t="s">
        <v>1188</v>
      </c>
      <c r="J22" s="185"/>
    </row>
    <row r="23" spans="1:17" s="265" customFormat="1">
      <c r="F23" s="446"/>
      <c r="G23" s="446"/>
      <c r="H23" s="181" t="s">
        <v>28</v>
      </c>
      <c r="I23" s="185" t="s">
        <v>1189</v>
      </c>
      <c r="J23" s="185"/>
      <c r="L23" s="282"/>
    </row>
    <row r="24" spans="1:17" s="265" customFormat="1" ht="12" customHeight="1">
      <c r="F24" s="446"/>
      <c r="G24" s="446"/>
      <c r="H24" s="270"/>
      <c r="I24" s="282"/>
      <c r="J24" s="282"/>
      <c r="L24" s="282"/>
    </row>
    <row r="25" spans="1:17" s="265" customFormat="1" ht="15" thickBot="1">
      <c r="A25" s="1179" t="s">
        <v>30</v>
      </c>
      <c r="B25" s="1179"/>
      <c r="C25" s="1179"/>
      <c r="D25" s="1179"/>
      <c r="E25" s="1179"/>
      <c r="F25" s="1179"/>
      <c r="G25" s="1179"/>
      <c r="H25" s="1179"/>
      <c r="I25" s="1179"/>
      <c r="J25" s="1179"/>
      <c r="K25" s="1179"/>
      <c r="L25" s="1179"/>
      <c r="M25" s="1179"/>
      <c r="N25" s="1179"/>
      <c r="O25" s="1179"/>
      <c r="P25" s="1179"/>
      <c r="Q25" s="1179"/>
    </row>
    <row r="26" spans="1:17" s="265" customFormat="1" ht="26.25" thickBot="1">
      <c r="A26" s="1290" t="s">
        <v>1065</v>
      </c>
      <c r="B26" s="1291"/>
      <c r="C26" s="1291"/>
      <c r="D26" s="1291"/>
      <c r="E26" s="1291"/>
      <c r="F26" s="1291"/>
      <c r="G26" s="1291"/>
      <c r="H26" s="1291"/>
      <c r="I26" s="1291"/>
      <c r="J26" s="1291"/>
      <c r="K26" s="1291"/>
      <c r="L26" s="1291"/>
      <c r="M26" s="1291"/>
      <c r="N26" s="1291"/>
      <c r="O26" s="1291"/>
      <c r="P26" s="1291"/>
      <c r="Q26" s="1291"/>
    </row>
    <row r="27" spans="1:17" s="265" customFormat="1" ht="15" thickBot="1">
      <c r="D27" s="277"/>
      <c r="E27" s="277"/>
      <c r="F27" s="283"/>
      <c r="G27" s="283"/>
      <c r="I27" s="288"/>
      <c r="J27" s="288"/>
      <c r="K27" s="288"/>
      <c r="L27" s="288"/>
    </row>
    <row r="28" spans="1:17" s="265" customFormat="1" ht="13.5" thickBot="1">
      <c r="F28" s="1021" t="s">
        <v>43</v>
      </c>
      <c r="G28" s="1022"/>
      <c r="H28" s="1023" t="s">
        <v>44</v>
      </c>
      <c r="I28" s="1024"/>
      <c r="J28" s="1024"/>
      <c r="K28" s="1024"/>
      <c r="L28" s="1024"/>
      <c r="M28" s="1024"/>
      <c r="N28" s="1024"/>
      <c r="O28" s="1024"/>
      <c r="P28" s="1024"/>
      <c r="Q28" s="1198"/>
    </row>
    <row r="29" spans="1:17" s="265" customFormat="1" ht="57.75" customHeight="1" thickBot="1">
      <c r="A29" s="188" t="s">
        <v>45</v>
      </c>
      <c r="B29" s="188" t="s">
        <v>46</v>
      </c>
      <c r="C29" s="189" t="s">
        <v>47</v>
      </c>
      <c r="D29" s="189" t="s">
        <v>48</v>
      </c>
      <c r="E29" s="189" t="s">
        <v>49</v>
      </c>
      <c r="F29" s="189" t="s">
        <v>50</v>
      </c>
      <c r="G29" s="188" t="s">
        <v>51</v>
      </c>
      <c r="H29" s="189" t="s">
        <v>53</v>
      </c>
      <c r="I29" s="188" t="s">
        <v>51</v>
      </c>
      <c r="J29" s="189" t="s">
        <v>54</v>
      </c>
      <c r="K29" s="188" t="s">
        <v>51</v>
      </c>
      <c r="L29" s="189" t="s">
        <v>55</v>
      </c>
      <c r="M29" s="188" t="s">
        <v>51</v>
      </c>
      <c r="N29" s="189" t="s">
        <v>847</v>
      </c>
      <c r="O29" s="188" t="s">
        <v>51</v>
      </c>
      <c r="P29" s="189" t="s">
        <v>848</v>
      </c>
      <c r="Q29" s="188" t="s">
        <v>51</v>
      </c>
    </row>
    <row r="30" spans="1:17" s="265" customFormat="1" ht="38.25" customHeight="1" thickBot="1">
      <c r="A30" s="1270" t="s">
        <v>1066</v>
      </c>
      <c r="B30" s="1271"/>
      <c r="C30" s="192" t="s">
        <v>1190</v>
      </c>
      <c r="D30" s="193" t="s">
        <v>1191</v>
      </c>
      <c r="E30" s="194">
        <v>76952.399999999994</v>
      </c>
      <c r="F30" s="510">
        <f>SUM(E30:E31)*(1-65%)</f>
        <v>27023.989999999998</v>
      </c>
      <c r="G30" s="1123">
        <f>F30*B30</f>
        <v>0</v>
      </c>
      <c r="H30" s="510">
        <f>F30*0.03137</f>
        <v>847.74256630000002</v>
      </c>
      <c r="I30" s="1123">
        <f>H30*B30</f>
        <v>0</v>
      </c>
      <c r="J30" s="510">
        <f>F30*0.0274</f>
        <v>740.45732599999997</v>
      </c>
      <c r="K30" s="1123">
        <f>J30*B30</f>
        <v>0</v>
      </c>
      <c r="L30" s="30">
        <f>F30*0.0228</f>
        <v>616.14697200000001</v>
      </c>
      <c r="M30" s="1123">
        <f>L30*B30</f>
        <v>0</v>
      </c>
      <c r="N30" s="30">
        <f>F30*0.0204</f>
        <v>551.28939600000001</v>
      </c>
      <c r="O30" s="1123">
        <f>N30*B30</f>
        <v>0</v>
      </c>
      <c r="P30" s="30">
        <f>F30*0.0185</f>
        <v>499.94381499999992</v>
      </c>
      <c r="Q30" s="1296">
        <f>P30*B30</f>
        <v>0</v>
      </c>
    </row>
    <row r="31" spans="1:17" s="265" customFormat="1" ht="12.75" customHeight="1" thickBot="1">
      <c r="A31" s="1293"/>
      <c r="B31" s="1294"/>
      <c r="C31" s="709" t="s">
        <v>424</v>
      </c>
      <c r="D31" s="199" t="s">
        <v>57</v>
      </c>
      <c r="E31" s="512">
        <v>259</v>
      </c>
      <c r="F31" s="710" t="s">
        <v>35</v>
      </c>
      <c r="G31" s="1272"/>
      <c r="H31" s="513" t="s">
        <v>35</v>
      </c>
      <c r="I31" s="1272"/>
      <c r="J31" s="513" t="s">
        <v>35</v>
      </c>
      <c r="K31" s="1272"/>
      <c r="L31" s="513" t="s">
        <v>35</v>
      </c>
      <c r="M31" s="1272"/>
      <c r="N31" s="513" t="s">
        <v>35</v>
      </c>
      <c r="O31" s="1272"/>
      <c r="P31" s="513" t="s">
        <v>35</v>
      </c>
      <c r="Q31" s="1297"/>
    </row>
    <row r="32" spans="1:17" s="198" customFormat="1" ht="15.75" customHeight="1" thickBot="1">
      <c r="A32" s="1002" t="s">
        <v>59</v>
      </c>
      <c r="B32" s="1277"/>
      <c r="C32" s="1277"/>
      <c r="D32" s="1277"/>
      <c r="E32" s="1277"/>
      <c r="F32" s="1277"/>
      <c r="G32" s="1277"/>
      <c r="H32" s="1277"/>
      <c r="I32" s="1277"/>
      <c r="J32" s="1277"/>
      <c r="K32" s="1277"/>
      <c r="L32" s="1277"/>
      <c r="M32" s="1277"/>
      <c r="N32" s="1277"/>
      <c r="O32" s="1277"/>
      <c r="P32" s="1277"/>
      <c r="Q32" s="1278"/>
    </row>
    <row r="33" spans="1:17" s="198" customFormat="1" ht="13.5" thickBot="1">
      <c r="A33" s="711"/>
      <c r="B33" s="431"/>
      <c r="C33" s="471" t="s">
        <v>105</v>
      </c>
      <c r="D33" s="472" t="s">
        <v>325</v>
      </c>
      <c r="E33" s="473">
        <v>399</v>
      </c>
      <c r="F33" s="703">
        <f t="shared" ref="F33:F78" si="0">E33*(1-45%)</f>
        <v>219.45000000000002</v>
      </c>
      <c r="G33" s="40">
        <f t="shared" ref="G33:G78" si="1">F33*B33</f>
        <v>0</v>
      </c>
      <c r="H33" s="39">
        <f t="shared" ref="H33:H78" si="2">F33*0.03137</f>
        <v>6.8841465000000008</v>
      </c>
      <c r="I33" s="40">
        <f t="shared" ref="I33:I78" si="3">H33*B33</f>
        <v>0</v>
      </c>
      <c r="J33" s="39">
        <f t="shared" ref="J33:J78" si="4">F33*0.0274</f>
        <v>6.0129300000000008</v>
      </c>
      <c r="K33" s="40">
        <f t="shared" ref="K33:K78" si="5">J33*B33</f>
        <v>0</v>
      </c>
      <c r="L33" s="39">
        <f t="shared" ref="L33:L78" si="6">F33*0.0228</f>
        <v>5.0034600000000005</v>
      </c>
      <c r="M33" s="39">
        <f t="shared" ref="M33:M78" si="7">L33*B33</f>
        <v>0</v>
      </c>
      <c r="N33" s="39">
        <f t="shared" ref="N33:N78" si="8">F33*0.0204</f>
        <v>4.4767800000000006</v>
      </c>
      <c r="O33" s="39">
        <f t="shared" ref="O33:O78" si="9">N33*B33</f>
        <v>0</v>
      </c>
      <c r="P33" s="39">
        <f t="shared" ref="P33:P78" si="10">F33*0.0185</f>
        <v>4.059825</v>
      </c>
      <c r="Q33" s="39">
        <f t="shared" ref="Q33:Q78" si="11">P33*B33</f>
        <v>0</v>
      </c>
    </row>
    <row r="34" spans="1:17" s="198" customFormat="1" ht="13.5" thickBot="1">
      <c r="A34" s="711"/>
      <c r="B34" s="416"/>
      <c r="C34" s="712" t="s">
        <v>1278</v>
      </c>
      <c r="D34" s="199" t="s">
        <v>1192</v>
      </c>
      <c r="E34" s="424">
        <v>1500</v>
      </c>
      <c r="F34" s="38">
        <f t="shared" si="0"/>
        <v>825.00000000000011</v>
      </c>
      <c r="G34" s="40">
        <f t="shared" si="1"/>
        <v>0</v>
      </c>
      <c r="H34" s="39">
        <f t="shared" si="2"/>
        <v>25.880250000000004</v>
      </c>
      <c r="I34" s="40">
        <f t="shared" si="3"/>
        <v>0</v>
      </c>
      <c r="J34" s="39">
        <f t="shared" si="4"/>
        <v>22.605000000000004</v>
      </c>
      <c r="K34" s="40">
        <f t="shared" si="5"/>
        <v>0</v>
      </c>
      <c r="L34" s="39">
        <f t="shared" si="6"/>
        <v>18.810000000000002</v>
      </c>
      <c r="M34" s="39">
        <f t="shared" si="7"/>
        <v>0</v>
      </c>
      <c r="N34" s="39">
        <f t="shared" si="8"/>
        <v>16.830000000000002</v>
      </c>
      <c r="O34" s="39">
        <f t="shared" si="9"/>
        <v>0</v>
      </c>
      <c r="P34" s="39">
        <f t="shared" si="10"/>
        <v>15.262500000000001</v>
      </c>
      <c r="Q34" s="39">
        <f t="shared" si="11"/>
        <v>0</v>
      </c>
    </row>
    <row r="35" spans="1:17" s="198" customFormat="1" ht="13.5" thickBot="1">
      <c r="A35" s="711"/>
      <c r="B35" s="416"/>
      <c r="C35" s="199" t="s">
        <v>1193</v>
      </c>
      <c r="D35" s="200" t="s">
        <v>1194</v>
      </c>
      <c r="E35" s="201">
        <v>12080.64</v>
      </c>
      <c r="F35" s="38">
        <f t="shared" si="0"/>
        <v>6644.3519999999999</v>
      </c>
      <c r="G35" s="41">
        <f t="shared" si="1"/>
        <v>0</v>
      </c>
      <c r="H35" s="39">
        <f t="shared" si="2"/>
        <v>208.43332224</v>
      </c>
      <c r="I35" s="40">
        <f t="shared" si="3"/>
        <v>0</v>
      </c>
      <c r="J35" s="39">
        <f t="shared" si="4"/>
        <v>182.0552448</v>
      </c>
      <c r="K35" s="40">
        <f t="shared" si="5"/>
        <v>0</v>
      </c>
      <c r="L35" s="39">
        <f t="shared" si="6"/>
        <v>151.49122560000001</v>
      </c>
      <c r="M35" s="39">
        <f t="shared" si="7"/>
        <v>0</v>
      </c>
      <c r="N35" s="39">
        <f t="shared" si="8"/>
        <v>135.54478080000001</v>
      </c>
      <c r="O35" s="39">
        <f t="shared" si="9"/>
        <v>0</v>
      </c>
      <c r="P35" s="39">
        <f t="shared" si="10"/>
        <v>122.92051199999999</v>
      </c>
      <c r="Q35" s="39">
        <f t="shared" si="11"/>
        <v>0</v>
      </c>
    </row>
    <row r="36" spans="1:17" s="198" customFormat="1" ht="13.5" thickBot="1">
      <c r="A36" s="711"/>
      <c r="B36" s="416"/>
      <c r="C36" s="199" t="s">
        <v>1197</v>
      </c>
      <c r="D36" s="200" t="s">
        <v>1400</v>
      </c>
      <c r="E36" s="201">
        <v>3840.72</v>
      </c>
      <c r="F36" s="38">
        <f t="shared" si="0"/>
        <v>2112.3960000000002</v>
      </c>
      <c r="G36" s="41">
        <f t="shared" si="1"/>
        <v>0</v>
      </c>
      <c r="H36" s="39">
        <f t="shared" si="2"/>
        <v>66.265862520000013</v>
      </c>
      <c r="I36" s="40">
        <f t="shared" si="3"/>
        <v>0</v>
      </c>
      <c r="J36" s="39">
        <f t="shared" si="4"/>
        <v>57.87965040000001</v>
      </c>
      <c r="K36" s="40">
        <f t="shared" si="5"/>
        <v>0</v>
      </c>
      <c r="L36" s="39">
        <f t="shared" si="6"/>
        <v>48.162628800000007</v>
      </c>
      <c r="M36" s="39">
        <f t="shared" si="7"/>
        <v>0</v>
      </c>
      <c r="N36" s="39">
        <f t="shared" si="8"/>
        <v>43.092878400000004</v>
      </c>
      <c r="O36" s="39">
        <f t="shared" si="9"/>
        <v>0</v>
      </c>
      <c r="P36" s="39">
        <f t="shared" si="10"/>
        <v>39.079326000000002</v>
      </c>
      <c r="Q36" s="39">
        <f t="shared" si="11"/>
        <v>0</v>
      </c>
    </row>
    <row r="37" spans="1:17" s="198" customFormat="1" ht="13.5" thickBot="1">
      <c r="A37" s="711"/>
      <c r="B37" s="416"/>
      <c r="C37" s="199" t="s">
        <v>1195</v>
      </c>
      <c r="D37" s="200" t="s">
        <v>1196</v>
      </c>
      <c r="E37" s="201">
        <v>3203.2</v>
      </c>
      <c r="F37" s="38">
        <f t="shared" si="0"/>
        <v>1761.76</v>
      </c>
      <c r="G37" s="41">
        <f t="shared" si="1"/>
        <v>0</v>
      </c>
      <c r="H37" s="39">
        <f t="shared" si="2"/>
        <v>55.2664112</v>
      </c>
      <c r="I37" s="40">
        <f t="shared" si="3"/>
        <v>0</v>
      </c>
      <c r="J37" s="39">
        <f t="shared" si="4"/>
        <v>48.272224000000001</v>
      </c>
      <c r="K37" s="40">
        <f t="shared" si="5"/>
        <v>0</v>
      </c>
      <c r="L37" s="39">
        <f t="shared" si="6"/>
        <v>40.168128000000003</v>
      </c>
      <c r="M37" s="39">
        <f t="shared" si="7"/>
        <v>0</v>
      </c>
      <c r="N37" s="39">
        <f t="shared" si="8"/>
        <v>35.939904000000006</v>
      </c>
      <c r="O37" s="39">
        <f t="shared" si="9"/>
        <v>0</v>
      </c>
      <c r="P37" s="39">
        <f t="shared" si="10"/>
        <v>32.592559999999999</v>
      </c>
      <c r="Q37" s="39">
        <f t="shared" si="11"/>
        <v>0</v>
      </c>
    </row>
    <row r="38" spans="1:17" s="198" customFormat="1" ht="13.5" thickBot="1">
      <c r="A38" s="711"/>
      <c r="B38" s="416"/>
      <c r="C38" s="199" t="s">
        <v>1089</v>
      </c>
      <c r="D38" s="200" t="s">
        <v>1090</v>
      </c>
      <c r="E38" s="201">
        <v>3606.97</v>
      </c>
      <c r="F38" s="38">
        <f t="shared" si="0"/>
        <v>1983.8335</v>
      </c>
      <c r="G38" s="41">
        <f t="shared" si="1"/>
        <v>0</v>
      </c>
      <c r="H38" s="39">
        <f t="shared" si="2"/>
        <v>62.232856895000005</v>
      </c>
      <c r="I38" s="40">
        <f t="shared" si="3"/>
        <v>0</v>
      </c>
      <c r="J38" s="39">
        <f t="shared" si="4"/>
        <v>54.357037900000002</v>
      </c>
      <c r="K38" s="40">
        <f t="shared" si="5"/>
        <v>0</v>
      </c>
      <c r="L38" s="39">
        <f t="shared" si="6"/>
        <v>45.231403800000002</v>
      </c>
      <c r="M38" s="39">
        <f t="shared" si="7"/>
        <v>0</v>
      </c>
      <c r="N38" s="39">
        <f t="shared" si="8"/>
        <v>40.470203400000003</v>
      </c>
      <c r="O38" s="39">
        <f t="shared" si="9"/>
        <v>0</v>
      </c>
      <c r="P38" s="39">
        <f t="shared" si="10"/>
        <v>36.700919749999997</v>
      </c>
      <c r="Q38" s="39">
        <f t="shared" si="11"/>
        <v>0</v>
      </c>
    </row>
    <row r="39" spans="1:17" s="198" customFormat="1" ht="13.5" thickBot="1">
      <c r="A39" s="711"/>
      <c r="B39" s="416"/>
      <c r="C39" s="199" t="s">
        <v>1069</v>
      </c>
      <c r="D39" s="200" t="s">
        <v>1070</v>
      </c>
      <c r="E39" s="201">
        <v>1701.26</v>
      </c>
      <c r="F39" s="38">
        <f t="shared" si="0"/>
        <v>935.6930000000001</v>
      </c>
      <c r="G39" s="41">
        <f t="shared" si="1"/>
        <v>0</v>
      </c>
      <c r="H39" s="39">
        <f t="shared" si="2"/>
        <v>29.352689410000004</v>
      </c>
      <c r="I39" s="40">
        <f t="shared" si="3"/>
        <v>0</v>
      </c>
      <c r="J39" s="39">
        <f t="shared" si="4"/>
        <v>25.637988200000002</v>
      </c>
      <c r="K39" s="40">
        <f t="shared" si="5"/>
        <v>0</v>
      </c>
      <c r="L39" s="39">
        <f t="shared" si="6"/>
        <v>21.333800400000001</v>
      </c>
      <c r="M39" s="39">
        <f t="shared" si="7"/>
        <v>0</v>
      </c>
      <c r="N39" s="39">
        <f t="shared" si="8"/>
        <v>19.088137200000002</v>
      </c>
      <c r="O39" s="39">
        <f t="shared" si="9"/>
        <v>0</v>
      </c>
      <c r="P39" s="39">
        <f t="shared" si="10"/>
        <v>17.3103205</v>
      </c>
      <c r="Q39" s="39">
        <f t="shared" si="11"/>
        <v>0</v>
      </c>
    </row>
    <row r="40" spans="1:17" s="198" customFormat="1" ht="13.5" thickBot="1">
      <c r="A40" s="711"/>
      <c r="B40" s="416"/>
      <c r="C40" s="199" t="s">
        <v>1095</v>
      </c>
      <c r="D40" s="200" t="s">
        <v>1096</v>
      </c>
      <c r="E40" s="201">
        <v>4637.54</v>
      </c>
      <c r="F40" s="38">
        <f t="shared" si="0"/>
        <v>2550.6470000000004</v>
      </c>
      <c r="G40" s="41">
        <f t="shared" si="1"/>
        <v>0</v>
      </c>
      <c r="H40" s="39">
        <f t="shared" si="2"/>
        <v>80.013796390000024</v>
      </c>
      <c r="I40" s="40">
        <f t="shared" si="3"/>
        <v>0</v>
      </c>
      <c r="J40" s="39">
        <f t="shared" si="4"/>
        <v>69.887727800000008</v>
      </c>
      <c r="K40" s="40">
        <f t="shared" si="5"/>
        <v>0</v>
      </c>
      <c r="L40" s="39">
        <f t="shared" si="6"/>
        <v>58.154751600000012</v>
      </c>
      <c r="M40" s="39">
        <f t="shared" si="7"/>
        <v>0</v>
      </c>
      <c r="N40" s="39">
        <f t="shared" si="8"/>
        <v>52.033198800000015</v>
      </c>
      <c r="O40" s="39">
        <f t="shared" si="9"/>
        <v>0</v>
      </c>
      <c r="P40" s="39">
        <f t="shared" si="10"/>
        <v>47.186969500000004</v>
      </c>
      <c r="Q40" s="39">
        <f t="shared" si="11"/>
        <v>0</v>
      </c>
    </row>
    <row r="41" spans="1:17" s="198" customFormat="1" ht="13.5" thickBot="1">
      <c r="A41" s="711"/>
      <c r="B41" s="416"/>
      <c r="C41" s="199" t="s">
        <v>1083</v>
      </c>
      <c r="D41" s="200" t="s">
        <v>1084</v>
      </c>
      <c r="E41" s="201">
        <v>1422.19</v>
      </c>
      <c r="F41" s="38">
        <f t="shared" si="0"/>
        <v>782.20450000000005</v>
      </c>
      <c r="G41" s="41">
        <f t="shared" si="1"/>
        <v>0</v>
      </c>
      <c r="H41" s="39">
        <f t="shared" si="2"/>
        <v>24.537755165000004</v>
      </c>
      <c r="I41" s="40">
        <f t="shared" si="3"/>
        <v>0</v>
      </c>
      <c r="J41" s="39">
        <f t="shared" si="4"/>
        <v>21.432403300000001</v>
      </c>
      <c r="K41" s="40">
        <f t="shared" si="5"/>
        <v>0</v>
      </c>
      <c r="L41" s="39">
        <f t="shared" si="6"/>
        <v>17.834262600000002</v>
      </c>
      <c r="M41" s="39">
        <f t="shared" si="7"/>
        <v>0</v>
      </c>
      <c r="N41" s="39">
        <f t="shared" si="8"/>
        <v>15.956971800000002</v>
      </c>
      <c r="O41" s="39">
        <f t="shared" si="9"/>
        <v>0</v>
      </c>
      <c r="P41" s="39">
        <f t="shared" si="10"/>
        <v>14.47078325</v>
      </c>
      <c r="Q41" s="39">
        <f t="shared" si="11"/>
        <v>0</v>
      </c>
    </row>
    <row r="42" spans="1:17" s="198" customFormat="1" ht="13.5" thickBot="1">
      <c r="A42" s="711"/>
      <c r="B42" s="416"/>
      <c r="C42" s="199" t="s">
        <v>1071</v>
      </c>
      <c r="D42" s="200" t="s">
        <v>1072</v>
      </c>
      <c r="E42" s="201">
        <v>1701.26</v>
      </c>
      <c r="F42" s="38">
        <f t="shared" si="0"/>
        <v>935.6930000000001</v>
      </c>
      <c r="G42" s="41">
        <f t="shared" si="1"/>
        <v>0</v>
      </c>
      <c r="H42" s="39">
        <f t="shared" si="2"/>
        <v>29.352689410000004</v>
      </c>
      <c r="I42" s="40">
        <f t="shared" si="3"/>
        <v>0</v>
      </c>
      <c r="J42" s="39">
        <f t="shared" si="4"/>
        <v>25.637988200000002</v>
      </c>
      <c r="K42" s="40">
        <f t="shared" si="5"/>
        <v>0</v>
      </c>
      <c r="L42" s="39">
        <f t="shared" si="6"/>
        <v>21.333800400000001</v>
      </c>
      <c r="M42" s="39">
        <f t="shared" si="7"/>
        <v>0</v>
      </c>
      <c r="N42" s="39">
        <f t="shared" si="8"/>
        <v>19.088137200000002</v>
      </c>
      <c r="O42" s="39">
        <f t="shared" si="9"/>
        <v>0</v>
      </c>
      <c r="P42" s="39">
        <f t="shared" si="10"/>
        <v>17.3103205</v>
      </c>
      <c r="Q42" s="39">
        <f t="shared" si="11"/>
        <v>0</v>
      </c>
    </row>
    <row r="43" spans="1:17" s="198" customFormat="1" ht="13.5" thickBot="1">
      <c r="A43" s="711"/>
      <c r="B43" s="416"/>
      <c r="C43" s="199" t="s">
        <v>1085</v>
      </c>
      <c r="D43" s="200" t="s">
        <v>1086</v>
      </c>
      <c r="E43" s="201">
        <v>1545.83</v>
      </c>
      <c r="F43" s="38">
        <f t="shared" si="0"/>
        <v>850.20650000000001</v>
      </c>
      <c r="G43" s="41">
        <f t="shared" si="1"/>
        <v>0</v>
      </c>
      <c r="H43" s="39">
        <f t="shared" si="2"/>
        <v>26.670977905000001</v>
      </c>
      <c r="I43" s="40">
        <f t="shared" si="3"/>
        <v>0</v>
      </c>
      <c r="J43" s="39">
        <f t="shared" si="4"/>
        <v>23.295658100000001</v>
      </c>
      <c r="K43" s="40">
        <f t="shared" si="5"/>
        <v>0</v>
      </c>
      <c r="L43" s="39">
        <f t="shared" si="6"/>
        <v>19.384708200000002</v>
      </c>
      <c r="M43" s="39">
        <f t="shared" si="7"/>
        <v>0</v>
      </c>
      <c r="N43" s="39">
        <f t="shared" si="8"/>
        <v>17.344212600000002</v>
      </c>
      <c r="O43" s="39">
        <f t="shared" si="9"/>
        <v>0</v>
      </c>
      <c r="P43" s="39">
        <f t="shared" si="10"/>
        <v>15.72882025</v>
      </c>
      <c r="Q43" s="39">
        <f t="shared" si="11"/>
        <v>0</v>
      </c>
    </row>
    <row r="44" spans="1:17" s="198" customFormat="1" ht="13.5" thickBot="1">
      <c r="A44" s="711"/>
      <c r="B44" s="416"/>
      <c r="C44" s="199" t="s">
        <v>1073</v>
      </c>
      <c r="D44" s="200" t="s">
        <v>1074</v>
      </c>
      <c r="E44" s="201">
        <v>1701.26</v>
      </c>
      <c r="F44" s="38">
        <f t="shared" si="0"/>
        <v>935.6930000000001</v>
      </c>
      <c r="G44" s="41">
        <f t="shared" si="1"/>
        <v>0</v>
      </c>
      <c r="H44" s="39">
        <f t="shared" si="2"/>
        <v>29.352689410000004</v>
      </c>
      <c r="I44" s="40">
        <f t="shared" si="3"/>
        <v>0</v>
      </c>
      <c r="J44" s="39">
        <f t="shared" si="4"/>
        <v>25.637988200000002</v>
      </c>
      <c r="K44" s="40">
        <f t="shared" si="5"/>
        <v>0</v>
      </c>
      <c r="L44" s="39">
        <f t="shared" si="6"/>
        <v>21.333800400000001</v>
      </c>
      <c r="M44" s="39">
        <f t="shared" si="7"/>
        <v>0</v>
      </c>
      <c r="N44" s="39">
        <f t="shared" si="8"/>
        <v>19.088137200000002</v>
      </c>
      <c r="O44" s="39">
        <f t="shared" si="9"/>
        <v>0</v>
      </c>
      <c r="P44" s="39">
        <f t="shared" si="10"/>
        <v>17.3103205</v>
      </c>
      <c r="Q44" s="39">
        <f t="shared" si="11"/>
        <v>0</v>
      </c>
    </row>
    <row r="45" spans="1:17" s="198" customFormat="1" ht="13.5" thickBot="1">
      <c r="A45" s="711"/>
      <c r="B45" s="416"/>
      <c r="C45" s="199" t="s">
        <v>1087</v>
      </c>
      <c r="D45" s="200" t="s">
        <v>1088</v>
      </c>
      <c r="E45" s="201">
        <v>1545.83</v>
      </c>
      <c r="F45" s="38">
        <f t="shared" si="0"/>
        <v>850.20650000000001</v>
      </c>
      <c r="G45" s="41">
        <f t="shared" si="1"/>
        <v>0</v>
      </c>
      <c r="H45" s="39">
        <f t="shared" si="2"/>
        <v>26.670977905000001</v>
      </c>
      <c r="I45" s="40">
        <f t="shared" si="3"/>
        <v>0</v>
      </c>
      <c r="J45" s="39">
        <f t="shared" si="4"/>
        <v>23.295658100000001</v>
      </c>
      <c r="K45" s="40">
        <f t="shared" si="5"/>
        <v>0</v>
      </c>
      <c r="L45" s="39">
        <f t="shared" si="6"/>
        <v>19.384708200000002</v>
      </c>
      <c r="M45" s="39">
        <f t="shared" si="7"/>
        <v>0</v>
      </c>
      <c r="N45" s="39">
        <f t="shared" si="8"/>
        <v>17.344212600000002</v>
      </c>
      <c r="O45" s="39">
        <f t="shared" si="9"/>
        <v>0</v>
      </c>
      <c r="P45" s="39">
        <f t="shared" si="10"/>
        <v>15.72882025</v>
      </c>
      <c r="Q45" s="39">
        <f t="shared" si="11"/>
        <v>0</v>
      </c>
    </row>
    <row r="46" spans="1:17" s="198" customFormat="1" ht="13.5" thickBot="1">
      <c r="A46" s="711"/>
      <c r="B46" s="416"/>
      <c r="C46" s="199" t="s">
        <v>1079</v>
      </c>
      <c r="D46" s="200" t="s">
        <v>1080</v>
      </c>
      <c r="E46" s="201">
        <v>1545.83</v>
      </c>
      <c r="F46" s="38">
        <f t="shared" si="0"/>
        <v>850.20650000000001</v>
      </c>
      <c r="G46" s="41">
        <f t="shared" si="1"/>
        <v>0</v>
      </c>
      <c r="H46" s="39">
        <f t="shared" si="2"/>
        <v>26.670977905000001</v>
      </c>
      <c r="I46" s="40">
        <f t="shared" si="3"/>
        <v>0</v>
      </c>
      <c r="J46" s="39">
        <f t="shared" si="4"/>
        <v>23.295658100000001</v>
      </c>
      <c r="K46" s="40">
        <f t="shared" si="5"/>
        <v>0</v>
      </c>
      <c r="L46" s="39">
        <f t="shared" si="6"/>
        <v>19.384708200000002</v>
      </c>
      <c r="M46" s="39">
        <f t="shared" si="7"/>
        <v>0</v>
      </c>
      <c r="N46" s="39">
        <f t="shared" si="8"/>
        <v>17.344212600000002</v>
      </c>
      <c r="O46" s="39">
        <f t="shared" si="9"/>
        <v>0</v>
      </c>
      <c r="P46" s="39">
        <f t="shared" si="10"/>
        <v>15.72882025</v>
      </c>
      <c r="Q46" s="39">
        <f t="shared" si="11"/>
        <v>0</v>
      </c>
    </row>
    <row r="47" spans="1:17" s="198" customFormat="1" ht="13.5" thickBot="1">
      <c r="A47" s="711"/>
      <c r="B47" s="416"/>
      <c r="C47" s="199" t="s">
        <v>1075</v>
      </c>
      <c r="D47" s="200" t="s">
        <v>1076</v>
      </c>
      <c r="E47" s="201">
        <v>1545.83</v>
      </c>
      <c r="F47" s="38">
        <f t="shared" si="0"/>
        <v>850.20650000000001</v>
      </c>
      <c r="G47" s="41">
        <f t="shared" si="1"/>
        <v>0</v>
      </c>
      <c r="H47" s="39">
        <f t="shared" si="2"/>
        <v>26.670977905000001</v>
      </c>
      <c r="I47" s="40">
        <f t="shared" si="3"/>
        <v>0</v>
      </c>
      <c r="J47" s="39">
        <f t="shared" si="4"/>
        <v>23.295658100000001</v>
      </c>
      <c r="K47" s="40">
        <f t="shared" si="5"/>
        <v>0</v>
      </c>
      <c r="L47" s="39">
        <f t="shared" si="6"/>
        <v>19.384708200000002</v>
      </c>
      <c r="M47" s="39">
        <f t="shared" si="7"/>
        <v>0</v>
      </c>
      <c r="N47" s="39">
        <f t="shared" si="8"/>
        <v>17.344212600000002</v>
      </c>
      <c r="O47" s="39">
        <f t="shared" si="9"/>
        <v>0</v>
      </c>
      <c r="P47" s="39">
        <f t="shared" si="10"/>
        <v>15.72882025</v>
      </c>
      <c r="Q47" s="39">
        <f t="shared" si="11"/>
        <v>0</v>
      </c>
    </row>
    <row r="48" spans="1:17" s="198" customFormat="1" ht="13.5" thickBot="1">
      <c r="A48" s="711"/>
      <c r="B48" s="416"/>
      <c r="C48" s="199" t="s">
        <v>1097</v>
      </c>
      <c r="D48" s="200" t="s">
        <v>1098</v>
      </c>
      <c r="E48" s="201">
        <v>2679.44</v>
      </c>
      <c r="F48" s="38">
        <f t="shared" si="0"/>
        <v>1473.6920000000002</v>
      </c>
      <c r="G48" s="41">
        <f t="shared" si="1"/>
        <v>0</v>
      </c>
      <c r="H48" s="39">
        <f t="shared" si="2"/>
        <v>46.229718040000009</v>
      </c>
      <c r="I48" s="40">
        <f t="shared" si="3"/>
        <v>0</v>
      </c>
      <c r="J48" s="39">
        <f t="shared" si="4"/>
        <v>40.379160800000008</v>
      </c>
      <c r="K48" s="40">
        <f t="shared" si="5"/>
        <v>0</v>
      </c>
      <c r="L48" s="39">
        <f t="shared" si="6"/>
        <v>33.600177600000009</v>
      </c>
      <c r="M48" s="39">
        <f t="shared" si="7"/>
        <v>0</v>
      </c>
      <c r="N48" s="39">
        <f t="shared" si="8"/>
        <v>30.063316800000006</v>
      </c>
      <c r="O48" s="39">
        <f t="shared" si="9"/>
        <v>0</v>
      </c>
      <c r="P48" s="39">
        <f t="shared" si="10"/>
        <v>27.263302000000003</v>
      </c>
      <c r="Q48" s="39">
        <f t="shared" si="11"/>
        <v>0</v>
      </c>
    </row>
    <row r="49" spans="1:17" s="198" customFormat="1" ht="13.5" thickBot="1">
      <c r="A49" s="711"/>
      <c r="B49" s="416"/>
      <c r="C49" s="199" t="s">
        <v>1077</v>
      </c>
      <c r="D49" s="200" t="s">
        <v>1078</v>
      </c>
      <c r="E49" s="201">
        <v>1545.83</v>
      </c>
      <c r="F49" s="38">
        <f t="shared" si="0"/>
        <v>850.20650000000001</v>
      </c>
      <c r="G49" s="41">
        <f t="shared" si="1"/>
        <v>0</v>
      </c>
      <c r="H49" s="39">
        <f t="shared" si="2"/>
        <v>26.670977905000001</v>
      </c>
      <c r="I49" s="40">
        <f t="shared" si="3"/>
        <v>0</v>
      </c>
      <c r="J49" s="39">
        <f t="shared" si="4"/>
        <v>23.295658100000001</v>
      </c>
      <c r="K49" s="40">
        <f t="shared" si="5"/>
        <v>0</v>
      </c>
      <c r="L49" s="39">
        <f t="shared" si="6"/>
        <v>19.384708200000002</v>
      </c>
      <c r="M49" s="39">
        <f t="shared" si="7"/>
        <v>0</v>
      </c>
      <c r="N49" s="39">
        <f t="shared" si="8"/>
        <v>17.344212600000002</v>
      </c>
      <c r="O49" s="39">
        <f t="shared" si="9"/>
        <v>0</v>
      </c>
      <c r="P49" s="39">
        <f t="shared" si="10"/>
        <v>15.72882025</v>
      </c>
      <c r="Q49" s="39">
        <f t="shared" si="11"/>
        <v>0</v>
      </c>
    </row>
    <row r="50" spans="1:17" s="198" customFormat="1" ht="13.5" thickBot="1">
      <c r="A50" s="711"/>
      <c r="B50" s="416"/>
      <c r="C50" s="199" t="s">
        <v>1099</v>
      </c>
      <c r="D50" s="200" t="s">
        <v>1100</v>
      </c>
      <c r="E50" s="201">
        <v>5152.8100000000004</v>
      </c>
      <c r="F50" s="38">
        <f t="shared" si="0"/>
        <v>2834.0455000000006</v>
      </c>
      <c r="G50" s="41">
        <f t="shared" si="1"/>
        <v>0</v>
      </c>
      <c r="H50" s="39">
        <f t="shared" si="2"/>
        <v>88.904007335000031</v>
      </c>
      <c r="I50" s="40">
        <f t="shared" si="3"/>
        <v>0</v>
      </c>
      <c r="J50" s="39">
        <f t="shared" si="4"/>
        <v>77.652846700000026</v>
      </c>
      <c r="K50" s="40">
        <f t="shared" si="5"/>
        <v>0</v>
      </c>
      <c r="L50" s="39">
        <f t="shared" si="6"/>
        <v>64.616237400000017</v>
      </c>
      <c r="M50" s="39">
        <f t="shared" si="7"/>
        <v>0</v>
      </c>
      <c r="N50" s="39">
        <f t="shared" si="8"/>
        <v>57.814528200000019</v>
      </c>
      <c r="O50" s="39">
        <f t="shared" si="9"/>
        <v>0</v>
      </c>
      <c r="P50" s="39">
        <f t="shared" si="10"/>
        <v>52.429841750000008</v>
      </c>
      <c r="Q50" s="39">
        <f t="shared" si="11"/>
        <v>0</v>
      </c>
    </row>
    <row r="51" spans="1:17" s="198" customFormat="1" ht="13.5" thickBot="1">
      <c r="A51" s="711"/>
      <c r="B51" s="416"/>
      <c r="C51" s="199" t="s">
        <v>1091</v>
      </c>
      <c r="D51" s="200" t="s">
        <v>1092</v>
      </c>
      <c r="E51" s="201">
        <v>1648.89</v>
      </c>
      <c r="F51" s="38">
        <f t="shared" si="0"/>
        <v>906.88950000000011</v>
      </c>
      <c r="G51" s="41">
        <f t="shared" si="1"/>
        <v>0</v>
      </c>
      <c r="H51" s="39">
        <f t="shared" si="2"/>
        <v>28.449123615000005</v>
      </c>
      <c r="I51" s="40">
        <f t="shared" si="3"/>
        <v>0</v>
      </c>
      <c r="J51" s="39">
        <f t="shared" si="4"/>
        <v>24.848772300000004</v>
      </c>
      <c r="K51" s="40">
        <f t="shared" si="5"/>
        <v>0</v>
      </c>
      <c r="L51" s="39">
        <f t="shared" si="6"/>
        <v>20.677080600000004</v>
      </c>
      <c r="M51" s="39">
        <f t="shared" si="7"/>
        <v>0</v>
      </c>
      <c r="N51" s="39">
        <f t="shared" si="8"/>
        <v>18.500545800000005</v>
      </c>
      <c r="O51" s="39">
        <f t="shared" si="9"/>
        <v>0</v>
      </c>
      <c r="P51" s="39">
        <f t="shared" si="10"/>
        <v>16.777455750000001</v>
      </c>
      <c r="Q51" s="39">
        <f t="shared" si="11"/>
        <v>0</v>
      </c>
    </row>
    <row r="52" spans="1:17" s="198" customFormat="1" ht="13.5" thickBot="1">
      <c r="A52" s="711"/>
      <c r="B52" s="416"/>
      <c r="C52" s="199" t="s">
        <v>1093</v>
      </c>
      <c r="D52" s="200" t="s">
        <v>1094</v>
      </c>
      <c r="E52" s="201">
        <v>1648.89</v>
      </c>
      <c r="F52" s="38">
        <f t="shared" si="0"/>
        <v>906.88950000000011</v>
      </c>
      <c r="G52" s="41">
        <f t="shared" si="1"/>
        <v>0</v>
      </c>
      <c r="H52" s="39">
        <f t="shared" si="2"/>
        <v>28.449123615000005</v>
      </c>
      <c r="I52" s="40">
        <f t="shared" si="3"/>
        <v>0</v>
      </c>
      <c r="J52" s="39">
        <f t="shared" si="4"/>
        <v>24.848772300000004</v>
      </c>
      <c r="K52" s="40">
        <f t="shared" si="5"/>
        <v>0</v>
      </c>
      <c r="L52" s="39">
        <f t="shared" si="6"/>
        <v>20.677080600000004</v>
      </c>
      <c r="M52" s="39">
        <f t="shared" si="7"/>
        <v>0</v>
      </c>
      <c r="N52" s="39">
        <f t="shared" si="8"/>
        <v>18.500545800000005</v>
      </c>
      <c r="O52" s="39">
        <f t="shared" si="9"/>
        <v>0</v>
      </c>
      <c r="P52" s="39">
        <f t="shared" si="10"/>
        <v>16.777455750000001</v>
      </c>
      <c r="Q52" s="39">
        <f t="shared" si="11"/>
        <v>0</v>
      </c>
    </row>
    <row r="53" spans="1:17" s="198" customFormat="1" ht="13.5" thickBot="1">
      <c r="A53" s="711"/>
      <c r="B53" s="416"/>
      <c r="C53" s="199" t="s">
        <v>1161</v>
      </c>
      <c r="D53" s="200" t="s">
        <v>1162</v>
      </c>
      <c r="E53" s="201">
        <v>4159.99</v>
      </c>
      <c r="F53" s="38">
        <f t="shared" si="0"/>
        <v>2287.9945000000002</v>
      </c>
      <c r="G53" s="41">
        <f t="shared" si="1"/>
        <v>0</v>
      </c>
      <c r="H53" s="39">
        <f t="shared" si="2"/>
        <v>71.774387465000018</v>
      </c>
      <c r="I53" s="40">
        <f t="shared" si="3"/>
        <v>0</v>
      </c>
      <c r="J53" s="39">
        <f t="shared" si="4"/>
        <v>62.69104930000001</v>
      </c>
      <c r="K53" s="40">
        <f t="shared" si="5"/>
        <v>0</v>
      </c>
      <c r="L53" s="39">
        <f t="shared" si="6"/>
        <v>52.166274600000008</v>
      </c>
      <c r="M53" s="39">
        <f t="shared" si="7"/>
        <v>0</v>
      </c>
      <c r="N53" s="39">
        <f t="shared" si="8"/>
        <v>46.675087800000007</v>
      </c>
      <c r="O53" s="39">
        <f t="shared" si="9"/>
        <v>0</v>
      </c>
      <c r="P53" s="39">
        <f t="shared" si="10"/>
        <v>42.327898250000004</v>
      </c>
      <c r="Q53" s="39">
        <f t="shared" si="11"/>
        <v>0</v>
      </c>
    </row>
    <row r="54" spans="1:17" s="198" customFormat="1" ht="13.5" thickBot="1">
      <c r="A54" s="711"/>
      <c r="B54" s="416"/>
      <c r="C54" s="199" t="s">
        <v>1165</v>
      </c>
      <c r="D54" s="200" t="s">
        <v>1166</v>
      </c>
      <c r="E54" s="201">
        <v>3690.62</v>
      </c>
      <c r="F54" s="38">
        <f t="shared" si="0"/>
        <v>2029.8410000000001</v>
      </c>
      <c r="G54" s="41">
        <f t="shared" si="1"/>
        <v>0</v>
      </c>
      <c r="H54" s="39">
        <f t="shared" si="2"/>
        <v>63.67611217000001</v>
      </c>
      <c r="I54" s="40">
        <f t="shared" si="3"/>
        <v>0</v>
      </c>
      <c r="J54" s="39">
        <f t="shared" si="4"/>
        <v>55.617643400000006</v>
      </c>
      <c r="K54" s="40">
        <f t="shared" si="5"/>
        <v>0</v>
      </c>
      <c r="L54" s="39">
        <f t="shared" si="6"/>
        <v>46.280374800000004</v>
      </c>
      <c r="M54" s="39">
        <f t="shared" si="7"/>
        <v>0</v>
      </c>
      <c r="N54" s="39">
        <f t="shared" si="8"/>
        <v>41.408756400000009</v>
      </c>
      <c r="O54" s="39">
        <f t="shared" si="9"/>
        <v>0</v>
      </c>
      <c r="P54" s="39">
        <f t="shared" si="10"/>
        <v>37.552058500000001</v>
      </c>
      <c r="Q54" s="39">
        <f t="shared" si="11"/>
        <v>0</v>
      </c>
    </row>
    <row r="55" spans="1:17" s="198" customFormat="1" ht="13.5" thickBot="1">
      <c r="A55" s="711"/>
      <c r="B55" s="416"/>
      <c r="C55" s="199" t="s">
        <v>1163</v>
      </c>
      <c r="D55" s="200" t="s">
        <v>1164</v>
      </c>
      <c r="E55" s="201">
        <v>3690.62</v>
      </c>
      <c r="F55" s="38">
        <f t="shared" si="0"/>
        <v>2029.8410000000001</v>
      </c>
      <c r="G55" s="41">
        <f t="shared" si="1"/>
        <v>0</v>
      </c>
      <c r="H55" s="39">
        <f t="shared" si="2"/>
        <v>63.67611217000001</v>
      </c>
      <c r="I55" s="40">
        <f t="shared" si="3"/>
        <v>0</v>
      </c>
      <c r="J55" s="39">
        <f t="shared" si="4"/>
        <v>55.617643400000006</v>
      </c>
      <c r="K55" s="40">
        <f t="shared" si="5"/>
        <v>0</v>
      </c>
      <c r="L55" s="39">
        <f t="shared" si="6"/>
        <v>46.280374800000004</v>
      </c>
      <c r="M55" s="39">
        <f t="shared" si="7"/>
        <v>0</v>
      </c>
      <c r="N55" s="39">
        <f t="shared" si="8"/>
        <v>41.408756400000009</v>
      </c>
      <c r="O55" s="39">
        <f t="shared" si="9"/>
        <v>0</v>
      </c>
      <c r="P55" s="39">
        <f t="shared" si="10"/>
        <v>37.552058500000001</v>
      </c>
      <c r="Q55" s="39">
        <f t="shared" si="11"/>
        <v>0</v>
      </c>
    </row>
    <row r="56" spans="1:17" s="198" customFormat="1" ht="13.5" thickBot="1">
      <c r="A56" s="711"/>
      <c r="B56" s="416"/>
      <c r="C56" s="199" t="s">
        <v>1081</v>
      </c>
      <c r="D56" s="200" t="s">
        <v>1082</v>
      </c>
      <c r="E56" s="201">
        <v>1628.26</v>
      </c>
      <c r="F56" s="38">
        <f t="shared" si="0"/>
        <v>895.54300000000012</v>
      </c>
      <c r="G56" s="41">
        <f t="shared" si="1"/>
        <v>0</v>
      </c>
      <c r="H56" s="39">
        <f t="shared" si="2"/>
        <v>28.093183910000004</v>
      </c>
      <c r="I56" s="40">
        <f t="shared" si="3"/>
        <v>0</v>
      </c>
      <c r="J56" s="39">
        <f t="shared" si="4"/>
        <v>24.537878200000005</v>
      </c>
      <c r="K56" s="40">
        <f t="shared" si="5"/>
        <v>0</v>
      </c>
      <c r="L56" s="39">
        <f t="shared" si="6"/>
        <v>20.418380400000004</v>
      </c>
      <c r="M56" s="39">
        <f t="shared" si="7"/>
        <v>0</v>
      </c>
      <c r="N56" s="39">
        <f t="shared" si="8"/>
        <v>18.269077200000005</v>
      </c>
      <c r="O56" s="39">
        <f t="shared" si="9"/>
        <v>0</v>
      </c>
      <c r="P56" s="39">
        <f t="shared" si="10"/>
        <v>16.567545500000001</v>
      </c>
      <c r="Q56" s="39">
        <f t="shared" si="11"/>
        <v>0</v>
      </c>
    </row>
    <row r="57" spans="1:17" s="198" customFormat="1" ht="13.5" thickBot="1">
      <c r="A57" s="711"/>
      <c r="B57" s="416"/>
      <c r="C57" s="199" t="s">
        <v>1198</v>
      </c>
      <c r="D57" s="200" t="s">
        <v>1279</v>
      </c>
      <c r="E57" s="201">
        <v>3942.64</v>
      </c>
      <c r="F57" s="38">
        <f t="shared" si="0"/>
        <v>2168.4520000000002</v>
      </c>
      <c r="G57" s="41">
        <f t="shared" si="1"/>
        <v>0</v>
      </c>
      <c r="H57" s="39">
        <f t="shared" si="2"/>
        <v>68.024339240000018</v>
      </c>
      <c r="I57" s="40">
        <f t="shared" si="3"/>
        <v>0</v>
      </c>
      <c r="J57" s="39">
        <f t="shared" si="4"/>
        <v>59.415584800000005</v>
      </c>
      <c r="K57" s="40">
        <f t="shared" si="5"/>
        <v>0</v>
      </c>
      <c r="L57" s="39">
        <f t="shared" si="6"/>
        <v>49.440705600000008</v>
      </c>
      <c r="M57" s="39">
        <f t="shared" si="7"/>
        <v>0</v>
      </c>
      <c r="N57" s="39">
        <f t="shared" si="8"/>
        <v>44.236420800000005</v>
      </c>
      <c r="O57" s="39">
        <f t="shared" si="9"/>
        <v>0</v>
      </c>
      <c r="P57" s="39">
        <f t="shared" si="10"/>
        <v>40.116362000000002</v>
      </c>
      <c r="Q57" s="39">
        <f t="shared" si="11"/>
        <v>0</v>
      </c>
    </row>
    <row r="58" spans="1:17" s="198" customFormat="1" ht="13.5" thickBot="1">
      <c r="A58" s="711"/>
      <c r="B58" s="416"/>
      <c r="C58" s="199" t="s">
        <v>1121</v>
      </c>
      <c r="D58" s="200" t="s">
        <v>1122</v>
      </c>
      <c r="E58" s="201">
        <v>154.84</v>
      </c>
      <c r="F58" s="38">
        <f t="shared" si="0"/>
        <v>85.162000000000006</v>
      </c>
      <c r="G58" s="41">
        <f t="shared" si="1"/>
        <v>0</v>
      </c>
      <c r="H58" s="39">
        <f t="shared" si="2"/>
        <v>2.6715319400000004</v>
      </c>
      <c r="I58" s="40">
        <f t="shared" si="3"/>
        <v>0</v>
      </c>
      <c r="J58" s="39">
        <f t="shared" si="4"/>
        <v>2.3334388000000001</v>
      </c>
      <c r="K58" s="40">
        <f t="shared" si="5"/>
        <v>0</v>
      </c>
      <c r="L58" s="39">
        <f t="shared" si="6"/>
        <v>1.9416936000000002</v>
      </c>
      <c r="M58" s="39">
        <f t="shared" si="7"/>
        <v>0</v>
      </c>
      <c r="N58" s="39">
        <f t="shared" si="8"/>
        <v>1.7373048000000002</v>
      </c>
      <c r="O58" s="39">
        <f t="shared" si="9"/>
        <v>0</v>
      </c>
      <c r="P58" s="39">
        <f t="shared" si="10"/>
        <v>1.5754969999999999</v>
      </c>
      <c r="Q58" s="39">
        <f t="shared" si="11"/>
        <v>0</v>
      </c>
    </row>
    <row r="59" spans="1:17" s="198" customFormat="1" ht="13.5" thickBot="1">
      <c r="A59" s="711"/>
      <c r="B59" s="416"/>
      <c r="C59" s="199" t="s">
        <v>1111</v>
      </c>
      <c r="D59" s="200" t="s">
        <v>1112</v>
      </c>
      <c r="E59" s="201">
        <v>142.6</v>
      </c>
      <c r="F59" s="38">
        <f t="shared" si="0"/>
        <v>78.430000000000007</v>
      </c>
      <c r="G59" s="41">
        <f t="shared" si="1"/>
        <v>0</v>
      </c>
      <c r="H59" s="39">
        <f t="shared" si="2"/>
        <v>2.4603491000000002</v>
      </c>
      <c r="I59" s="40">
        <f t="shared" si="3"/>
        <v>0</v>
      </c>
      <c r="J59" s="39">
        <f t="shared" si="4"/>
        <v>2.1489820000000002</v>
      </c>
      <c r="K59" s="40">
        <f t="shared" si="5"/>
        <v>0</v>
      </c>
      <c r="L59" s="39">
        <f t="shared" si="6"/>
        <v>1.7882040000000001</v>
      </c>
      <c r="M59" s="39">
        <f t="shared" si="7"/>
        <v>0</v>
      </c>
      <c r="N59" s="39">
        <f t="shared" si="8"/>
        <v>1.5999720000000002</v>
      </c>
      <c r="O59" s="39">
        <f t="shared" si="9"/>
        <v>0</v>
      </c>
      <c r="P59" s="39">
        <f t="shared" si="10"/>
        <v>1.450955</v>
      </c>
      <c r="Q59" s="39">
        <f t="shared" si="11"/>
        <v>0</v>
      </c>
    </row>
    <row r="60" spans="1:17" s="198" customFormat="1" ht="13.5" thickBot="1">
      <c r="A60" s="711"/>
      <c r="B60" s="416"/>
      <c r="C60" s="199" t="s">
        <v>1101</v>
      </c>
      <c r="D60" s="200" t="s">
        <v>1102</v>
      </c>
      <c r="E60" s="201">
        <v>141.21</v>
      </c>
      <c r="F60" s="38">
        <f t="shared" si="0"/>
        <v>77.665500000000009</v>
      </c>
      <c r="G60" s="41">
        <f t="shared" si="1"/>
        <v>0</v>
      </c>
      <c r="H60" s="39">
        <f t="shared" si="2"/>
        <v>2.4363667350000004</v>
      </c>
      <c r="I60" s="40">
        <f t="shared" si="3"/>
        <v>0</v>
      </c>
      <c r="J60" s="39">
        <f t="shared" si="4"/>
        <v>2.1280347000000002</v>
      </c>
      <c r="K60" s="40">
        <f t="shared" si="5"/>
        <v>0</v>
      </c>
      <c r="L60" s="39">
        <f t="shared" si="6"/>
        <v>1.7707734000000002</v>
      </c>
      <c r="M60" s="39">
        <f t="shared" si="7"/>
        <v>0</v>
      </c>
      <c r="N60" s="39">
        <f t="shared" si="8"/>
        <v>1.5843762000000003</v>
      </c>
      <c r="O60" s="39">
        <f t="shared" si="9"/>
        <v>0</v>
      </c>
      <c r="P60" s="39">
        <f t="shared" si="10"/>
        <v>1.4368117500000002</v>
      </c>
      <c r="Q60" s="39">
        <f t="shared" si="11"/>
        <v>0</v>
      </c>
    </row>
    <row r="61" spans="1:17" s="198" customFormat="1" ht="13.5" thickBot="1">
      <c r="A61" s="711"/>
      <c r="B61" s="416"/>
      <c r="C61" s="199" t="s">
        <v>1103</v>
      </c>
      <c r="D61" s="200" t="s">
        <v>1104</v>
      </c>
      <c r="E61" s="201">
        <v>122.89</v>
      </c>
      <c r="F61" s="38">
        <f t="shared" si="0"/>
        <v>67.589500000000001</v>
      </c>
      <c r="G61" s="41">
        <f t="shared" si="1"/>
        <v>0</v>
      </c>
      <c r="H61" s="39">
        <f t="shared" si="2"/>
        <v>2.1202826150000003</v>
      </c>
      <c r="I61" s="40">
        <f t="shared" si="3"/>
        <v>0</v>
      </c>
      <c r="J61" s="39">
        <f t="shared" si="4"/>
        <v>1.8519523</v>
      </c>
      <c r="K61" s="40">
        <f t="shared" si="5"/>
        <v>0</v>
      </c>
      <c r="L61" s="39">
        <f t="shared" si="6"/>
        <v>1.5410406000000001</v>
      </c>
      <c r="M61" s="39">
        <f t="shared" si="7"/>
        <v>0</v>
      </c>
      <c r="N61" s="39">
        <f t="shared" si="8"/>
        <v>1.3788258000000002</v>
      </c>
      <c r="O61" s="39">
        <f t="shared" si="9"/>
        <v>0</v>
      </c>
      <c r="P61" s="39">
        <f t="shared" si="10"/>
        <v>1.2504057499999999</v>
      </c>
      <c r="Q61" s="39">
        <f t="shared" si="11"/>
        <v>0</v>
      </c>
    </row>
    <row r="62" spans="1:17" s="198" customFormat="1" ht="13.5" thickBot="1">
      <c r="A62" s="711"/>
      <c r="B62" s="416"/>
      <c r="C62" s="199" t="s">
        <v>1113</v>
      </c>
      <c r="D62" s="200" t="s">
        <v>1114</v>
      </c>
      <c r="E62" s="201">
        <v>124.08</v>
      </c>
      <c r="F62" s="38">
        <f t="shared" si="0"/>
        <v>68.244</v>
      </c>
      <c r="G62" s="41">
        <f t="shared" si="1"/>
        <v>0</v>
      </c>
      <c r="H62" s="39">
        <f t="shared" si="2"/>
        <v>2.1408142800000003</v>
      </c>
      <c r="I62" s="40">
        <f t="shared" si="3"/>
        <v>0</v>
      </c>
      <c r="J62" s="39">
        <f t="shared" si="4"/>
        <v>1.8698856000000001</v>
      </c>
      <c r="K62" s="40">
        <f t="shared" si="5"/>
        <v>0</v>
      </c>
      <c r="L62" s="39">
        <f t="shared" si="6"/>
        <v>1.5559632000000001</v>
      </c>
      <c r="M62" s="39">
        <f t="shared" si="7"/>
        <v>0</v>
      </c>
      <c r="N62" s="39">
        <f t="shared" si="8"/>
        <v>1.3921776000000001</v>
      </c>
      <c r="O62" s="39">
        <f t="shared" si="9"/>
        <v>0</v>
      </c>
      <c r="P62" s="39">
        <f t="shared" si="10"/>
        <v>1.2625139999999999</v>
      </c>
      <c r="Q62" s="39">
        <f t="shared" si="11"/>
        <v>0</v>
      </c>
    </row>
    <row r="63" spans="1:17" s="198" customFormat="1" ht="13.5" thickBot="1">
      <c r="A63" s="711"/>
      <c r="B63" s="416"/>
      <c r="C63" s="199" t="s">
        <v>1107</v>
      </c>
      <c r="D63" s="200" t="s">
        <v>1108</v>
      </c>
      <c r="E63" s="201">
        <v>111.45</v>
      </c>
      <c r="F63" s="38">
        <f t="shared" si="0"/>
        <v>61.297500000000007</v>
      </c>
      <c r="G63" s="41">
        <f t="shared" si="1"/>
        <v>0</v>
      </c>
      <c r="H63" s="39">
        <f t="shared" si="2"/>
        <v>1.9229025750000004</v>
      </c>
      <c r="I63" s="40">
        <f t="shared" si="3"/>
        <v>0</v>
      </c>
      <c r="J63" s="39">
        <f t="shared" si="4"/>
        <v>1.6795515000000003</v>
      </c>
      <c r="K63" s="40">
        <f t="shared" si="5"/>
        <v>0</v>
      </c>
      <c r="L63" s="39">
        <f t="shared" si="6"/>
        <v>1.3975830000000002</v>
      </c>
      <c r="M63" s="39">
        <f t="shared" si="7"/>
        <v>0</v>
      </c>
      <c r="N63" s="39">
        <f t="shared" si="8"/>
        <v>1.2504690000000003</v>
      </c>
      <c r="O63" s="39">
        <f t="shared" si="9"/>
        <v>0</v>
      </c>
      <c r="P63" s="39">
        <f t="shared" si="10"/>
        <v>1.13400375</v>
      </c>
      <c r="Q63" s="39">
        <f t="shared" si="11"/>
        <v>0</v>
      </c>
    </row>
    <row r="64" spans="1:17" s="198" customFormat="1" ht="13.5" thickBot="1">
      <c r="A64" s="711"/>
      <c r="B64" s="416"/>
      <c r="C64" s="199" t="s">
        <v>1123</v>
      </c>
      <c r="D64" s="200" t="s">
        <v>1124</v>
      </c>
      <c r="E64" s="201">
        <v>134.54</v>
      </c>
      <c r="F64" s="38">
        <f t="shared" si="0"/>
        <v>73.997</v>
      </c>
      <c r="G64" s="41">
        <f t="shared" si="1"/>
        <v>0</v>
      </c>
      <c r="H64" s="39">
        <f t="shared" si="2"/>
        <v>2.32128589</v>
      </c>
      <c r="I64" s="40">
        <f t="shared" si="3"/>
        <v>0</v>
      </c>
      <c r="J64" s="39">
        <f t="shared" si="4"/>
        <v>2.0275178</v>
      </c>
      <c r="K64" s="40">
        <f t="shared" si="5"/>
        <v>0</v>
      </c>
      <c r="L64" s="39">
        <f t="shared" si="6"/>
        <v>1.6871316000000001</v>
      </c>
      <c r="M64" s="39">
        <f t="shared" si="7"/>
        <v>0</v>
      </c>
      <c r="N64" s="39">
        <f t="shared" si="8"/>
        <v>1.5095388000000001</v>
      </c>
      <c r="O64" s="39">
        <f t="shared" si="9"/>
        <v>0</v>
      </c>
      <c r="P64" s="39">
        <f t="shared" si="10"/>
        <v>1.3689445</v>
      </c>
      <c r="Q64" s="39">
        <f t="shared" si="11"/>
        <v>0</v>
      </c>
    </row>
    <row r="65" spans="1:17" s="198" customFormat="1" ht="13.5" thickBot="1">
      <c r="A65" s="711"/>
      <c r="B65" s="416"/>
      <c r="C65" s="199" t="s">
        <v>1105</v>
      </c>
      <c r="D65" s="200" t="s">
        <v>1106</v>
      </c>
      <c r="E65" s="201">
        <v>113.74</v>
      </c>
      <c r="F65" s="38">
        <f t="shared" si="0"/>
        <v>62.557000000000002</v>
      </c>
      <c r="G65" s="41">
        <f t="shared" si="1"/>
        <v>0</v>
      </c>
      <c r="H65" s="39">
        <f t="shared" si="2"/>
        <v>1.9624130900000003</v>
      </c>
      <c r="I65" s="40">
        <f t="shared" si="3"/>
        <v>0</v>
      </c>
      <c r="J65" s="39">
        <f t="shared" si="4"/>
        <v>1.7140618000000001</v>
      </c>
      <c r="K65" s="40">
        <f t="shared" si="5"/>
        <v>0</v>
      </c>
      <c r="L65" s="39">
        <f t="shared" si="6"/>
        <v>1.4262996000000001</v>
      </c>
      <c r="M65" s="39">
        <f t="shared" si="7"/>
        <v>0</v>
      </c>
      <c r="N65" s="39">
        <f t="shared" si="8"/>
        <v>1.2761628</v>
      </c>
      <c r="O65" s="39">
        <f t="shared" si="9"/>
        <v>0</v>
      </c>
      <c r="P65" s="39">
        <f t="shared" si="10"/>
        <v>1.1573045</v>
      </c>
      <c r="Q65" s="39">
        <f t="shared" si="11"/>
        <v>0</v>
      </c>
    </row>
    <row r="66" spans="1:17" s="198" customFormat="1" ht="13.5" thickBot="1">
      <c r="A66" s="711"/>
      <c r="B66" s="416"/>
      <c r="C66" s="199" t="s">
        <v>1125</v>
      </c>
      <c r="D66" s="200" t="s">
        <v>1126</v>
      </c>
      <c r="E66" s="201">
        <v>124.34</v>
      </c>
      <c r="F66" s="38">
        <f t="shared" si="0"/>
        <v>68.387</v>
      </c>
      <c r="G66" s="41">
        <f t="shared" si="1"/>
        <v>0</v>
      </c>
      <c r="H66" s="39">
        <f t="shared" si="2"/>
        <v>2.1453001899999999</v>
      </c>
      <c r="I66" s="40">
        <f t="shared" si="3"/>
        <v>0</v>
      </c>
      <c r="J66" s="39">
        <f t="shared" si="4"/>
        <v>1.8738038000000001</v>
      </c>
      <c r="K66" s="40">
        <f t="shared" si="5"/>
        <v>0</v>
      </c>
      <c r="L66" s="39">
        <f t="shared" si="6"/>
        <v>1.5592236000000002</v>
      </c>
      <c r="M66" s="39">
        <f t="shared" si="7"/>
        <v>0</v>
      </c>
      <c r="N66" s="39">
        <f t="shared" si="8"/>
        <v>1.3950948000000001</v>
      </c>
      <c r="O66" s="39">
        <f t="shared" si="9"/>
        <v>0</v>
      </c>
      <c r="P66" s="39">
        <f t="shared" si="10"/>
        <v>1.2651595</v>
      </c>
      <c r="Q66" s="39">
        <f t="shared" si="11"/>
        <v>0</v>
      </c>
    </row>
    <row r="67" spans="1:17" s="198" customFormat="1" ht="13.5" thickBot="1">
      <c r="A67" s="711"/>
      <c r="B67" s="416"/>
      <c r="C67" s="199" t="s">
        <v>1115</v>
      </c>
      <c r="D67" s="200" t="s">
        <v>1116</v>
      </c>
      <c r="E67" s="201">
        <v>118.33</v>
      </c>
      <c r="F67" s="38">
        <f t="shared" si="0"/>
        <v>65.081500000000005</v>
      </c>
      <c r="G67" s="41">
        <f t="shared" si="1"/>
        <v>0</v>
      </c>
      <c r="H67" s="39">
        <f t="shared" si="2"/>
        <v>2.0416066550000003</v>
      </c>
      <c r="I67" s="40">
        <f t="shared" si="3"/>
        <v>0</v>
      </c>
      <c r="J67" s="39">
        <f t="shared" si="4"/>
        <v>1.7832331000000001</v>
      </c>
      <c r="K67" s="40">
        <f t="shared" si="5"/>
        <v>0</v>
      </c>
      <c r="L67" s="39">
        <f t="shared" si="6"/>
        <v>1.4838582000000002</v>
      </c>
      <c r="M67" s="39">
        <f t="shared" si="7"/>
        <v>0</v>
      </c>
      <c r="N67" s="39">
        <f t="shared" si="8"/>
        <v>1.3276626000000002</v>
      </c>
      <c r="O67" s="39">
        <f t="shared" si="9"/>
        <v>0</v>
      </c>
      <c r="P67" s="39">
        <f t="shared" si="10"/>
        <v>1.2040077499999999</v>
      </c>
      <c r="Q67" s="39">
        <f t="shared" si="11"/>
        <v>0</v>
      </c>
    </row>
    <row r="68" spans="1:17" s="198" customFormat="1" ht="13.5" thickBot="1">
      <c r="A68" s="711"/>
      <c r="B68" s="416"/>
      <c r="C68" s="199" t="s">
        <v>1127</v>
      </c>
      <c r="D68" s="200" t="s">
        <v>1128</v>
      </c>
      <c r="E68" s="201">
        <v>122.49</v>
      </c>
      <c r="F68" s="38">
        <f t="shared" si="0"/>
        <v>67.369500000000002</v>
      </c>
      <c r="G68" s="41">
        <f t="shared" si="1"/>
        <v>0</v>
      </c>
      <c r="H68" s="39">
        <f t="shared" si="2"/>
        <v>2.1133812150000004</v>
      </c>
      <c r="I68" s="40">
        <f t="shared" si="3"/>
        <v>0</v>
      </c>
      <c r="J68" s="39">
        <f t="shared" si="4"/>
        <v>1.8459243000000001</v>
      </c>
      <c r="K68" s="40">
        <f t="shared" si="5"/>
        <v>0</v>
      </c>
      <c r="L68" s="39">
        <f t="shared" si="6"/>
        <v>1.5360246000000002</v>
      </c>
      <c r="M68" s="39">
        <f t="shared" si="7"/>
        <v>0</v>
      </c>
      <c r="N68" s="39">
        <f t="shared" si="8"/>
        <v>1.3743378000000002</v>
      </c>
      <c r="O68" s="39">
        <f t="shared" si="9"/>
        <v>0</v>
      </c>
      <c r="P68" s="39">
        <f t="shared" si="10"/>
        <v>1.2463357500000001</v>
      </c>
      <c r="Q68" s="39">
        <f t="shared" si="11"/>
        <v>0</v>
      </c>
    </row>
    <row r="69" spans="1:17" s="198" customFormat="1" ht="13.5" thickBot="1">
      <c r="A69" s="711"/>
      <c r="B69" s="416"/>
      <c r="C69" s="199" t="s">
        <v>1117</v>
      </c>
      <c r="D69" s="200" t="s">
        <v>1118</v>
      </c>
      <c r="E69" s="201">
        <v>115.93</v>
      </c>
      <c r="F69" s="38">
        <f t="shared" si="0"/>
        <v>63.761500000000012</v>
      </c>
      <c r="G69" s="41">
        <f t="shared" si="1"/>
        <v>0</v>
      </c>
      <c r="H69" s="39">
        <f t="shared" si="2"/>
        <v>2.0001982550000004</v>
      </c>
      <c r="I69" s="40">
        <f t="shared" si="3"/>
        <v>0</v>
      </c>
      <c r="J69" s="39">
        <f t="shared" si="4"/>
        <v>1.7470651000000004</v>
      </c>
      <c r="K69" s="40">
        <f t="shared" si="5"/>
        <v>0</v>
      </c>
      <c r="L69" s="39">
        <f t="shared" si="6"/>
        <v>1.4537622000000003</v>
      </c>
      <c r="M69" s="39">
        <f t="shared" si="7"/>
        <v>0</v>
      </c>
      <c r="N69" s="39">
        <f t="shared" si="8"/>
        <v>1.3007346000000004</v>
      </c>
      <c r="O69" s="39">
        <f t="shared" si="9"/>
        <v>0</v>
      </c>
      <c r="P69" s="39">
        <f t="shared" si="10"/>
        <v>1.1795877500000003</v>
      </c>
      <c r="Q69" s="39">
        <f t="shared" si="11"/>
        <v>0</v>
      </c>
    </row>
    <row r="70" spans="1:17" s="198" customFormat="1" ht="13.5" thickBot="1">
      <c r="A70" s="711"/>
      <c r="B70" s="416"/>
      <c r="C70" s="199" t="s">
        <v>1109</v>
      </c>
      <c r="D70" s="200" t="s">
        <v>1110</v>
      </c>
      <c r="E70" s="201">
        <v>105.33</v>
      </c>
      <c r="F70" s="38">
        <f t="shared" si="0"/>
        <v>57.931500000000007</v>
      </c>
      <c r="G70" s="41">
        <f t="shared" si="1"/>
        <v>0</v>
      </c>
      <c r="H70" s="39">
        <f t="shared" si="2"/>
        <v>1.8173111550000003</v>
      </c>
      <c r="I70" s="40">
        <f t="shared" si="3"/>
        <v>0</v>
      </c>
      <c r="J70" s="39">
        <f t="shared" si="4"/>
        <v>1.5873231000000003</v>
      </c>
      <c r="K70" s="40">
        <f t="shared" si="5"/>
        <v>0</v>
      </c>
      <c r="L70" s="39">
        <f t="shared" si="6"/>
        <v>1.3208382000000003</v>
      </c>
      <c r="M70" s="39">
        <f t="shared" si="7"/>
        <v>0</v>
      </c>
      <c r="N70" s="39">
        <f t="shared" si="8"/>
        <v>1.1818026000000001</v>
      </c>
      <c r="O70" s="39">
        <f t="shared" si="9"/>
        <v>0</v>
      </c>
      <c r="P70" s="39">
        <f t="shared" si="10"/>
        <v>1.07173275</v>
      </c>
      <c r="Q70" s="39">
        <f t="shared" si="11"/>
        <v>0</v>
      </c>
    </row>
    <row r="71" spans="1:17" s="198" customFormat="1" ht="13.5" thickBot="1">
      <c r="A71" s="711"/>
      <c r="B71" s="416"/>
      <c r="C71" s="199" t="s">
        <v>1129</v>
      </c>
      <c r="D71" s="200" t="s">
        <v>1130</v>
      </c>
      <c r="E71" s="201">
        <v>115.12</v>
      </c>
      <c r="F71" s="38">
        <f t="shared" si="0"/>
        <v>63.31600000000001</v>
      </c>
      <c r="G71" s="41">
        <f t="shared" si="1"/>
        <v>0</v>
      </c>
      <c r="H71" s="39">
        <f t="shared" si="2"/>
        <v>1.9862229200000003</v>
      </c>
      <c r="I71" s="40">
        <f t="shared" si="3"/>
        <v>0</v>
      </c>
      <c r="J71" s="39">
        <f t="shared" si="4"/>
        <v>1.7348584000000002</v>
      </c>
      <c r="K71" s="40">
        <f t="shared" si="5"/>
        <v>0</v>
      </c>
      <c r="L71" s="39">
        <f t="shared" si="6"/>
        <v>1.4436048000000004</v>
      </c>
      <c r="M71" s="39">
        <f t="shared" si="7"/>
        <v>0</v>
      </c>
      <c r="N71" s="39">
        <f t="shared" si="8"/>
        <v>1.2916464000000003</v>
      </c>
      <c r="O71" s="39">
        <f t="shared" si="9"/>
        <v>0</v>
      </c>
      <c r="P71" s="39">
        <f t="shared" si="10"/>
        <v>1.1713460000000002</v>
      </c>
      <c r="Q71" s="39">
        <f t="shared" si="11"/>
        <v>0</v>
      </c>
    </row>
    <row r="72" spans="1:17" s="198" customFormat="1" ht="13.5" thickBot="1">
      <c r="A72" s="711"/>
      <c r="B72" s="416"/>
      <c r="C72" s="199" t="s">
        <v>1119</v>
      </c>
      <c r="D72" s="200" t="s">
        <v>1120</v>
      </c>
      <c r="E72" s="201">
        <v>103.1</v>
      </c>
      <c r="F72" s="38">
        <f t="shared" si="0"/>
        <v>56.704999999999998</v>
      </c>
      <c r="G72" s="41">
        <f t="shared" si="1"/>
        <v>0</v>
      </c>
      <c r="H72" s="39">
        <f t="shared" si="2"/>
        <v>1.7788358500000001</v>
      </c>
      <c r="I72" s="40">
        <f t="shared" si="3"/>
        <v>0</v>
      </c>
      <c r="J72" s="39">
        <f t="shared" si="4"/>
        <v>1.553717</v>
      </c>
      <c r="K72" s="40">
        <f t="shared" si="5"/>
        <v>0</v>
      </c>
      <c r="L72" s="39">
        <f t="shared" si="6"/>
        <v>1.2928740000000001</v>
      </c>
      <c r="M72" s="39">
        <f t="shared" si="7"/>
        <v>0</v>
      </c>
      <c r="N72" s="39">
        <f t="shared" si="8"/>
        <v>1.156782</v>
      </c>
      <c r="O72" s="39">
        <f t="shared" si="9"/>
        <v>0</v>
      </c>
      <c r="P72" s="39">
        <f t="shared" si="10"/>
        <v>1.0490424999999999</v>
      </c>
      <c r="Q72" s="39">
        <f t="shared" si="11"/>
        <v>0</v>
      </c>
    </row>
    <row r="73" spans="1:17" s="198" customFormat="1" ht="13.5" thickBot="1">
      <c r="A73" s="711"/>
      <c r="B73" s="416"/>
      <c r="C73" s="199" t="s">
        <v>1155</v>
      </c>
      <c r="D73" s="200" t="s">
        <v>1156</v>
      </c>
      <c r="E73" s="201">
        <v>99.44</v>
      </c>
      <c r="F73" s="38">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39">
        <f t="shared" si="10"/>
        <v>1.0118019999999999</v>
      </c>
      <c r="Q73" s="39">
        <f t="shared" si="11"/>
        <v>0</v>
      </c>
    </row>
    <row r="74" spans="1:17" s="198" customFormat="1" ht="13.5" thickBot="1">
      <c r="A74" s="711"/>
      <c r="B74" s="416"/>
      <c r="C74" s="199" t="s">
        <v>1157</v>
      </c>
      <c r="D74" s="200" t="s">
        <v>1158</v>
      </c>
      <c r="E74" s="201">
        <v>99.44</v>
      </c>
      <c r="F74" s="38">
        <f t="shared" si="0"/>
        <v>54.692</v>
      </c>
      <c r="G74" s="41">
        <f t="shared" si="1"/>
        <v>0</v>
      </c>
      <c r="H74" s="39">
        <f t="shared" si="2"/>
        <v>1.7156880400000001</v>
      </c>
      <c r="I74" s="40">
        <f t="shared" si="3"/>
        <v>0</v>
      </c>
      <c r="J74" s="39">
        <f t="shared" si="4"/>
        <v>1.4985608000000001</v>
      </c>
      <c r="K74" s="40">
        <f t="shared" si="5"/>
        <v>0</v>
      </c>
      <c r="L74" s="39">
        <f t="shared" si="6"/>
        <v>1.2469776000000001</v>
      </c>
      <c r="M74" s="39">
        <f t="shared" si="7"/>
        <v>0</v>
      </c>
      <c r="N74" s="39">
        <f t="shared" si="8"/>
        <v>1.1157168000000002</v>
      </c>
      <c r="O74" s="39">
        <f t="shared" si="9"/>
        <v>0</v>
      </c>
      <c r="P74" s="39">
        <f t="shared" si="10"/>
        <v>1.0118019999999999</v>
      </c>
      <c r="Q74" s="39">
        <f t="shared" si="11"/>
        <v>0</v>
      </c>
    </row>
    <row r="75" spans="1:17" s="198" customFormat="1" ht="13.5" thickBot="1">
      <c r="A75" s="711"/>
      <c r="B75" s="416"/>
      <c r="C75" s="199" t="s">
        <v>1159</v>
      </c>
      <c r="D75" s="200" t="s">
        <v>1160</v>
      </c>
      <c r="E75" s="201">
        <v>99.44</v>
      </c>
      <c r="F75" s="38">
        <f t="shared" si="0"/>
        <v>54.692</v>
      </c>
      <c r="G75" s="41">
        <f t="shared" si="1"/>
        <v>0</v>
      </c>
      <c r="H75" s="39">
        <f t="shared" si="2"/>
        <v>1.7156880400000001</v>
      </c>
      <c r="I75" s="40">
        <f t="shared" si="3"/>
        <v>0</v>
      </c>
      <c r="J75" s="39">
        <f t="shared" si="4"/>
        <v>1.4985608000000001</v>
      </c>
      <c r="K75" s="40">
        <f t="shared" si="5"/>
        <v>0</v>
      </c>
      <c r="L75" s="39">
        <f t="shared" si="6"/>
        <v>1.2469776000000001</v>
      </c>
      <c r="M75" s="39">
        <f t="shared" si="7"/>
        <v>0</v>
      </c>
      <c r="N75" s="39">
        <f t="shared" si="8"/>
        <v>1.1157168000000002</v>
      </c>
      <c r="O75" s="39">
        <f t="shared" si="9"/>
        <v>0</v>
      </c>
      <c r="P75" s="39">
        <f t="shared" si="10"/>
        <v>1.0118019999999999</v>
      </c>
      <c r="Q75" s="39">
        <f t="shared" si="11"/>
        <v>0</v>
      </c>
    </row>
    <row r="76" spans="1:17" s="198" customFormat="1" ht="13.5" thickBot="1">
      <c r="A76" s="711"/>
      <c r="B76" s="416"/>
      <c r="C76" s="199" t="s">
        <v>1199</v>
      </c>
      <c r="D76" s="200" t="s">
        <v>1200</v>
      </c>
      <c r="E76" s="201">
        <v>5966.48</v>
      </c>
      <c r="F76" s="38">
        <f t="shared" si="0"/>
        <v>3281.5639999999999</v>
      </c>
      <c r="G76" s="41">
        <f t="shared" si="1"/>
        <v>0</v>
      </c>
      <c r="H76" s="39">
        <f t="shared" si="2"/>
        <v>102.94266268</v>
      </c>
      <c r="I76" s="40">
        <f t="shared" si="3"/>
        <v>0</v>
      </c>
      <c r="J76" s="39">
        <f t="shared" si="4"/>
        <v>89.914853600000001</v>
      </c>
      <c r="K76" s="40">
        <f t="shared" si="5"/>
        <v>0</v>
      </c>
      <c r="L76" s="39">
        <f t="shared" si="6"/>
        <v>74.819659200000004</v>
      </c>
      <c r="M76" s="39">
        <f t="shared" si="7"/>
        <v>0</v>
      </c>
      <c r="N76" s="39">
        <f t="shared" si="8"/>
        <v>66.943905600000008</v>
      </c>
      <c r="O76" s="39">
        <f t="shared" si="9"/>
        <v>0</v>
      </c>
      <c r="P76" s="39">
        <f t="shared" si="10"/>
        <v>60.708933999999992</v>
      </c>
      <c r="Q76" s="39">
        <f t="shared" si="11"/>
        <v>0</v>
      </c>
    </row>
    <row r="77" spans="1:17" s="198" customFormat="1" ht="13.5" thickBot="1">
      <c r="A77" s="711"/>
      <c r="B77" s="416"/>
      <c r="C77" s="199" t="s">
        <v>1201</v>
      </c>
      <c r="D77" s="200" t="s">
        <v>1202</v>
      </c>
      <c r="E77" s="201">
        <v>21646.560000000001</v>
      </c>
      <c r="F77" s="38">
        <f t="shared" si="0"/>
        <v>11905.608000000002</v>
      </c>
      <c r="G77" s="41">
        <f t="shared" si="1"/>
        <v>0</v>
      </c>
      <c r="H77" s="39">
        <f t="shared" si="2"/>
        <v>373.47892296000009</v>
      </c>
      <c r="I77" s="40">
        <f t="shared" si="3"/>
        <v>0</v>
      </c>
      <c r="J77" s="39">
        <f t="shared" si="4"/>
        <v>326.21365920000005</v>
      </c>
      <c r="K77" s="40">
        <f t="shared" si="5"/>
        <v>0</v>
      </c>
      <c r="L77" s="39">
        <f t="shared" si="6"/>
        <v>271.44786240000008</v>
      </c>
      <c r="M77" s="39">
        <f t="shared" si="7"/>
        <v>0</v>
      </c>
      <c r="N77" s="39">
        <f t="shared" si="8"/>
        <v>242.87440320000005</v>
      </c>
      <c r="O77" s="39">
        <f t="shared" si="9"/>
        <v>0</v>
      </c>
      <c r="P77" s="39">
        <f t="shared" si="10"/>
        <v>220.25374800000003</v>
      </c>
      <c r="Q77" s="39">
        <f t="shared" si="11"/>
        <v>0</v>
      </c>
    </row>
    <row r="78" spans="1:17" s="198" customFormat="1" ht="13.5" thickBot="1">
      <c r="A78" s="711"/>
      <c r="B78" s="416"/>
      <c r="C78" s="199" t="s">
        <v>1203</v>
      </c>
      <c r="D78" s="200" t="s">
        <v>1204</v>
      </c>
      <c r="E78" s="201">
        <v>13384.8</v>
      </c>
      <c r="F78" s="38">
        <f t="shared" si="0"/>
        <v>7361.64</v>
      </c>
      <c r="G78" s="41">
        <f t="shared" si="1"/>
        <v>0</v>
      </c>
      <c r="H78" s="39">
        <f t="shared" si="2"/>
        <v>230.93464680000002</v>
      </c>
      <c r="I78" s="40">
        <f t="shared" si="3"/>
        <v>0</v>
      </c>
      <c r="J78" s="39">
        <f t="shared" si="4"/>
        <v>201.70893600000002</v>
      </c>
      <c r="K78" s="40">
        <f t="shared" si="5"/>
        <v>0</v>
      </c>
      <c r="L78" s="39">
        <f t="shared" si="6"/>
        <v>167.845392</v>
      </c>
      <c r="M78" s="39">
        <f t="shared" si="7"/>
        <v>0</v>
      </c>
      <c r="N78" s="39">
        <f t="shared" si="8"/>
        <v>150.17745600000001</v>
      </c>
      <c r="O78" s="39">
        <f t="shared" si="9"/>
        <v>0</v>
      </c>
      <c r="P78" s="39">
        <f t="shared" si="10"/>
        <v>136.19033999999999</v>
      </c>
      <c r="Q78" s="39">
        <f t="shared" si="11"/>
        <v>0</v>
      </c>
    </row>
    <row r="79" spans="1:17" s="291" customFormat="1" ht="13.5" thickBot="1">
      <c r="A79" s="1006"/>
      <c r="B79" s="416"/>
      <c r="C79" s="199" t="s">
        <v>1134</v>
      </c>
      <c r="D79" s="200" t="s">
        <v>1135</v>
      </c>
      <c r="E79" s="201">
        <v>5955.04</v>
      </c>
      <c r="F79" s="38">
        <f t="shared" ref="F79:F136" si="12">E79*(1-45%)</f>
        <v>3275.2720000000004</v>
      </c>
      <c r="G79" s="41">
        <f t="shared" ref="G79:G136" si="13">F79*B79</f>
        <v>0</v>
      </c>
      <c r="H79" s="39">
        <f t="shared" ref="H79:H136" si="14">F79*0.03137</f>
        <v>102.74528264000001</v>
      </c>
      <c r="I79" s="40">
        <f t="shared" ref="I79:I136" si="15">H79*B79</f>
        <v>0</v>
      </c>
      <c r="J79" s="39">
        <f t="shared" ref="J79:J99" si="16">F79*0.0274</f>
        <v>89.742452800000009</v>
      </c>
      <c r="K79" s="40">
        <f t="shared" ref="K79:K136" si="17">J79*B79</f>
        <v>0</v>
      </c>
      <c r="L79" s="39">
        <f t="shared" ref="L79:L99" si="18">F79*0.0228</f>
        <v>74.676201600000013</v>
      </c>
      <c r="M79" s="39">
        <f t="shared" ref="M79:M136" si="19">L79*B79</f>
        <v>0</v>
      </c>
      <c r="N79" s="39">
        <f t="shared" ref="N79:N136" si="20">F79*0.0204</f>
        <v>66.815548800000016</v>
      </c>
      <c r="O79" s="39">
        <f t="shared" ref="O79:O136" si="21">N79*B79</f>
        <v>0</v>
      </c>
      <c r="P79" s="39">
        <f t="shared" ref="P79:P136" si="22">F79*0.0185</f>
        <v>60.592532000000006</v>
      </c>
      <c r="Q79" s="39">
        <f t="shared" ref="Q79:Q136" si="23">P79*B79</f>
        <v>0</v>
      </c>
    </row>
    <row r="80" spans="1:17" s="291" customFormat="1" ht="13.5" thickBot="1">
      <c r="A80" s="1006"/>
      <c r="B80" s="416"/>
      <c r="C80" s="199" t="s">
        <v>1205</v>
      </c>
      <c r="D80" s="200" t="s">
        <v>1404</v>
      </c>
      <c r="E80" s="201">
        <v>6756.88</v>
      </c>
      <c r="F80" s="38">
        <f t="shared" si="12"/>
        <v>3716.2840000000006</v>
      </c>
      <c r="G80" s="41">
        <f t="shared" si="13"/>
        <v>0</v>
      </c>
      <c r="H80" s="39">
        <f t="shared" si="14"/>
        <v>116.57982908000002</v>
      </c>
      <c r="I80" s="40">
        <f t="shared" si="15"/>
        <v>0</v>
      </c>
      <c r="J80" s="39">
        <f t="shared" si="16"/>
        <v>101.82618160000001</v>
      </c>
      <c r="K80" s="40">
        <f t="shared" si="17"/>
        <v>0</v>
      </c>
      <c r="L80" s="39">
        <f t="shared" si="18"/>
        <v>84.731275200000013</v>
      </c>
      <c r="M80" s="39">
        <f t="shared" si="19"/>
        <v>0</v>
      </c>
      <c r="N80" s="39">
        <f t="shared" si="20"/>
        <v>75.812193600000015</v>
      </c>
      <c r="O80" s="39">
        <f t="shared" si="21"/>
        <v>0</v>
      </c>
      <c r="P80" s="39">
        <f t="shared" si="22"/>
        <v>68.751254000000003</v>
      </c>
      <c r="Q80" s="39">
        <f t="shared" si="23"/>
        <v>0</v>
      </c>
    </row>
    <row r="81" spans="1:17" s="291" customFormat="1" ht="13.5" thickBot="1">
      <c r="A81" s="1006"/>
      <c r="B81" s="416"/>
      <c r="C81" s="199" t="s">
        <v>1167</v>
      </c>
      <c r="D81" s="200" t="s">
        <v>1168</v>
      </c>
      <c r="E81" s="201">
        <v>24604.13</v>
      </c>
      <c r="F81" s="38">
        <f t="shared" si="12"/>
        <v>13532.271500000003</v>
      </c>
      <c r="G81" s="41">
        <f t="shared" si="13"/>
        <v>0</v>
      </c>
      <c r="H81" s="39">
        <f t="shared" si="14"/>
        <v>424.50735695500009</v>
      </c>
      <c r="I81" s="40">
        <f t="shared" si="15"/>
        <v>0</v>
      </c>
      <c r="J81" s="39">
        <f t="shared" si="16"/>
        <v>370.78423910000009</v>
      </c>
      <c r="K81" s="40">
        <f t="shared" si="17"/>
        <v>0</v>
      </c>
      <c r="L81" s="39">
        <f t="shared" si="18"/>
        <v>308.53579020000006</v>
      </c>
      <c r="M81" s="39">
        <f t="shared" si="19"/>
        <v>0</v>
      </c>
      <c r="N81" s="39">
        <f t="shared" si="20"/>
        <v>276.05833860000007</v>
      </c>
      <c r="O81" s="39">
        <f t="shared" si="21"/>
        <v>0</v>
      </c>
      <c r="P81" s="39">
        <f t="shared" si="22"/>
        <v>250.34702275000004</v>
      </c>
      <c r="Q81" s="39">
        <f t="shared" si="23"/>
        <v>0</v>
      </c>
    </row>
    <row r="82" spans="1:17" s="291" customFormat="1" ht="13.5" thickBot="1">
      <c r="A82" s="1006"/>
      <c r="B82" s="416"/>
      <c r="C82" s="199">
        <v>7723000</v>
      </c>
      <c r="D82" s="200" t="s">
        <v>1131</v>
      </c>
      <c r="E82" s="201">
        <v>50817.919999999998</v>
      </c>
      <c r="F82" s="38">
        <f t="shared" si="12"/>
        <v>27949.856</v>
      </c>
      <c r="G82" s="41">
        <f t="shared" si="13"/>
        <v>0</v>
      </c>
      <c r="H82" s="39">
        <f t="shared" si="14"/>
        <v>876.78698272000008</v>
      </c>
      <c r="I82" s="40">
        <f t="shared" si="15"/>
        <v>0</v>
      </c>
      <c r="J82" s="39">
        <f t="shared" si="16"/>
        <v>765.82605439999998</v>
      </c>
      <c r="K82" s="40">
        <f t="shared" si="17"/>
        <v>0</v>
      </c>
      <c r="L82" s="39">
        <f t="shared" si="18"/>
        <v>637.25671680000005</v>
      </c>
      <c r="M82" s="39">
        <f t="shared" si="19"/>
        <v>0</v>
      </c>
      <c r="N82" s="39">
        <f t="shared" si="20"/>
        <v>570.17706240000007</v>
      </c>
      <c r="O82" s="39">
        <f t="shared" si="21"/>
        <v>0</v>
      </c>
      <c r="P82" s="39">
        <f t="shared" si="22"/>
        <v>517.07233599999995</v>
      </c>
      <c r="Q82" s="39">
        <f t="shared" si="23"/>
        <v>0</v>
      </c>
    </row>
    <row r="83" spans="1:17" s="291" customFormat="1" ht="13.5" thickBot="1">
      <c r="A83" s="1006"/>
      <c r="B83" s="416"/>
      <c r="C83" s="199" t="s">
        <v>1207</v>
      </c>
      <c r="D83" s="200" t="s">
        <v>1208</v>
      </c>
      <c r="E83" s="201">
        <v>1761.76</v>
      </c>
      <c r="F83" s="38">
        <f t="shared" si="12"/>
        <v>968.96800000000007</v>
      </c>
      <c r="G83" s="41">
        <f t="shared" si="13"/>
        <v>0</v>
      </c>
      <c r="H83" s="39">
        <f t="shared" si="14"/>
        <v>30.396526160000004</v>
      </c>
      <c r="I83" s="40">
        <f t="shared" si="15"/>
        <v>0</v>
      </c>
      <c r="J83" s="39">
        <f t="shared" si="16"/>
        <v>26.549723200000003</v>
      </c>
      <c r="K83" s="40">
        <f t="shared" si="17"/>
        <v>0</v>
      </c>
      <c r="L83" s="39">
        <f t="shared" si="18"/>
        <v>22.092470400000003</v>
      </c>
      <c r="M83" s="39">
        <f t="shared" si="19"/>
        <v>0</v>
      </c>
      <c r="N83" s="39">
        <f t="shared" si="20"/>
        <v>19.766947200000004</v>
      </c>
      <c r="O83" s="39">
        <f t="shared" si="21"/>
        <v>0</v>
      </c>
      <c r="P83" s="39">
        <f t="shared" si="22"/>
        <v>17.925908</v>
      </c>
      <c r="Q83" s="39">
        <f t="shared" si="23"/>
        <v>0</v>
      </c>
    </row>
    <row r="84" spans="1:17" s="198" customFormat="1" ht="13.5" thickBot="1">
      <c r="A84" s="1006"/>
      <c r="B84" s="416"/>
      <c r="C84" s="712" t="s">
        <v>1148</v>
      </c>
      <c r="D84" s="199" t="s">
        <v>1149</v>
      </c>
      <c r="E84" s="424">
        <v>12126.4</v>
      </c>
      <c r="F84" s="38">
        <f t="shared" si="12"/>
        <v>6669.52</v>
      </c>
      <c r="G84" s="41">
        <f t="shared" si="13"/>
        <v>0</v>
      </c>
      <c r="H84" s="39">
        <f t="shared" si="14"/>
        <v>209.22284240000002</v>
      </c>
      <c r="I84" s="40">
        <f t="shared" si="15"/>
        <v>0</v>
      </c>
      <c r="J84" s="39">
        <f t="shared" si="16"/>
        <v>182.74484800000002</v>
      </c>
      <c r="K84" s="40">
        <f t="shared" si="17"/>
        <v>0</v>
      </c>
      <c r="L84" s="39">
        <f t="shared" si="18"/>
        <v>152.06505600000003</v>
      </c>
      <c r="M84" s="39">
        <f t="shared" si="19"/>
        <v>0</v>
      </c>
      <c r="N84" s="39">
        <f t="shared" si="20"/>
        <v>136.05820800000001</v>
      </c>
      <c r="O84" s="39">
        <f t="shared" si="21"/>
        <v>0</v>
      </c>
      <c r="P84" s="39">
        <f t="shared" si="22"/>
        <v>123.38612000000001</v>
      </c>
      <c r="Q84" s="39">
        <f t="shared" si="23"/>
        <v>0</v>
      </c>
    </row>
    <row r="85" spans="1:17" s="198" customFormat="1" ht="13.5" thickBot="1">
      <c r="A85" s="1006"/>
      <c r="B85" s="416"/>
      <c r="C85" s="696" t="s">
        <v>1209</v>
      </c>
      <c r="D85" s="200" t="s">
        <v>1210</v>
      </c>
      <c r="E85" s="201">
        <v>2668.64</v>
      </c>
      <c r="F85" s="38">
        <f t="shared" si="12"/>
        <v>1467.752</v>
      </c>
      <c r="G85" s="41">
        <f t="shared" si="13"/>
        <v>0</v>
      </c>
      <c r="H85" s="39">
        <f t="shared" si="14"/>
        <v>46.043380240000005</v>
      </c>
      <c r="I85" s="40">
        <f t="shared" si="15"/>
        <v>0</v>
      </c>
      <c r="J85" s="39">
        <f t="shared" si="16"/>
        <v>40.216404799999999</v>
      </c>
      <c r="K85" s="40">
        <f t="shared" si="17"/>
        <v>0</v>
      </c>
      <c r="L85" s="39">
        <f t="shared" si="18"/>
        <v>33.464745600000001</v>
      </c>
      <c r="M85" s="39">
        <f t="shared" si="19"/>
        <v>0</v>
      </c>
      <c r="N85" s="39">
        <f t="shared" si="20"/>
        <v>29.942140800000001</v>
      </c>
      <c r="O85" s="39">
        <f t="shared" si="21"/>
        <v>0</v>
      </c>
      <c r="P85" s="39">
        <f t="shared" si="22"/>
        <v>27.153411999999999</v>
      </c>
      <c r="Q85" s="39">
        <f t="shared" si="23"/>
        <v>0</v>
      </c>
    </row>
    <row r="86" spans="1:17" s="198" customFormat="1" ht="13.5" thickBot="1">
      <c r="A86" s="1006"/>
      <c r="B86" s="416"/>
      <c r="C86" s="199" t="s">
        <v>1211</v>
      </c>
      <c r="D86" s="200" t="s">
        <v>1212</v>
      </c>
      <c r="E86" s="201">
        <v>5200</v>
      </c>
      <c r="F86" s="38">
        <f t="shared" si="12"/>
        <v>2860.0000000000005</v>
      </c>
      <c r="G86" s="41">
        <f t="shared" si="13"/>
        <v>0</v>
      </c>
      <c r="H86" s="39">
        <f t="shared" si="14"/>
        <v>89.718200000000024</v>
      </c>
      <c r="I86" s="40">
        <f t="shared" si="15"/>
        <v>0</v>
      </c>
      <c r="J86" s="39">
        <f t="shared" si="16"/>
        <v>78.364000000000019</v>
      </c>
      <c r="K86" s="40">
        <f t="shared" si="17"/>
        <v>0</v>
      </c>
      <c r="L86" s="39">
        <f t="shared" si="18"/>
        <v>65.208000000000013</v>
      </c>
      <c r="M86" s="39">
        <f t="shared" si="19"/>
        <v>0</v>
      </c>
      <c r="N86" s="39">
        <f t="shared" si="20"/>
        <v>58.344000000000015</v>
      </c>
      <c r="O86" s="39">
        <f t="shared" si="21"/>
        <v>0</v>
      </c>
      <c r="P86" s="39">
        <f t="shared" si="22"/>
        <v>52.910000000000004</v>
      </c>
      <c r="Q86" s="39">
        <f t="shared" si="23"/>
        <v>0</v>
      </c>
    </row>
    <row r="87" spans="1:17" s="291" customFormat="1" ht="13.5" thickBot="1">
      <c r="A87" s="1006"/>
      <c r="B87" s="416"/>
      <c r="C87" s="199" t="s">
        <v>1213</v>
      </c>
      <c r="D87" s="200" t="s">
        <v>1214</v>
      </c>
      <c r="E87" s="201">
        <v>5200</v>
      </c>
      <c r="F87" s="38">
        <f t="shared" si="12"/>
        <v>2860.0000000000005</v>
      </c>
      <c r="G87" s="41">
        <f t="shared" si="13"/>
        <v>0</v>
      </c>
      <c r="H87" s="39">
        <f t="shared" si="14"/>
        <v>89.718200000000024</v>
      </c>
      <c r="I87" s="40">
        <f t="shared" si="15"/>
        <v>0</v>
      </c>
      <c r="J87" s="39">
        <f t="shared" si="16"/>
        <v>78.364000000000019</v>
      </c>
      <c r="K87" s="40">
        <f t="shared" si="17"/>
        <v>0</v>
      </c>
      <c r="L87" s="39">
        <f t="shared" si="18"/>
        <v>65.208000000000013</v>
      </c>
      <c r="M87" s="39">
        <f t="shared" si="19"/>
        <v>0</v>
      </c>
      <c r="N87" s="39">
        <f t="shared" si="20"/>
        <v>58.344000000000015</v>
      </c>
      <c r="O87" s="39">
        <f t="shared" si="21"/>
        <v>0</v>
      </c>
      <c r="P87" s="39">
        <f t="shared" si="22"/>
        <v>52.910000000000004</v>
      </c>
      <c r="Q87" s="39">
        <f t="shared" si="23"/>
        <v>0</v>
      </c>
    </row>
    <row r="88" spans="1:17" s="291" customFormat="1" ht="13.5" thickBot="1">
      <c r="A88" s="1006"/>
      <c r="B88" s="416"/>
      <c r="C88" s="199" t="s">
        <v>1215</v>
      </c>
      <c r="D88" s="200" t="s">
        <v>1216</v>
      </c>
      <c r="E88" s="201">
        <v>9995</v>
      </c>
      <c r="F88" s="38">
        <f>E88*(1-45%)</f>
        <v>5497.25</v>
      </c>
      <c r="G88" s="41">
        <f>F88*B88</f>
        <v>0</v>
      </c>
      <c r="H88" s="39">
        <f>F88*0.03137</f>
        <v>172.44873250000001</v>
      </c>
      <c r="I88" s="40">
        <f>H88*B88</f>
        <v>0</v>
      </c>
      <c r="J88" s="39">
        <f>F88*0.0274</f>
        <v>150.62465</v>
      </c>
      <c r="K88" s="40">
        <f>J88*B88</f>
        <v>0</v>
      </c>
      <c r="L88" s="39">
        <f>F88*0.0228</f>
        <v>125.3373</v>
      </c>
      <c r="M88" s="39">
        <f>L88*B88</f>
        <v>0</v>
      </c>
      <c r="N88" s="39">
        <f>F88*0.0204</f>
        <v>112.1439</v>
      </c>
      <c r="O88" s="39">
        <f>N88*B88</f>
        <v>0</v>
      </c>
      <c r="P88" s="39">
        <f>F88*0.0185</f>
        <v>101.699125</v>
      </c>
      <c r="Q88" s="39">
        <f>P88*B88</f>
        <v>0</v>
      </c>
    </row>
    <row r="89" spans="1:17" s="198" customFormat="1" ht="13.5" thickBot="1">
      <c r="A89" s="1006"/>
      <c r="B89" s="416"/>
      <c r="C89" s="712" t="s">
        <v>1217</v>
      </c>
      <c r="D89" s="199" t="s">
        <v>1218</v>
      </c>
      <c r="E89" s="424">
        <v>21275</v>
      </c>
      <c r="F89" s="38">
        <f>E89*(1-45%)</f>
        <v>11701.250000000002</v>
      </c>
      <c r="G89" s="41">
        <f>F89*B89</f>
        <v>0</v>
      </c>
      <c r="H89" s="39">
        <f>F89*0.03137</f>
        <v>367.06821250000007</v>
      </c>
      <c r="I89" s="40">
        <f>H89*B89</f>
        <v>0</v>
      </c>
      <c r="J89" s="39">
        <f>F89*0.0274</f>
        <v>320.61425000000008</v>
      </c>
      <c r="K89" s="40">
        <f>J89*B89</f>
        <v>0</v>
      </c>
      <c r="L89" s="39">
        <f>F89*0.0228</f>
        <v>266.78850000000006</v>
      </c>
      <c r="M89" s="39">
        <f>L89*B89</f>
        <v>0</v>
      </c>
      <c r="N89" s="39">
        <f>F89*0.0204</f>
        <v>238.70550000000006</v>
      </c>
      <c r="O89" s="39">
        <f>N89*B89</f>
        <v>0</v>
      </c>
      <c r="P89" s="39">
        <f>F89*0.0185</f>
        <v>216.47312500000001</v>
      </c>
      <c r="Q89" s="39">
        <f>P89*B89</f>
        <v>0</v>
      </c>
    </row>
    <row r="90" spans="1:17" s="198" customFormat="1" ht="13.5" thickBot="1">
      <c r="A90" s="1006"/>
      <c r="B90" s="416"/>
      <c r="C90" s="696" t="s">
        <v>1153</v>
      </c>
      <c r="D90" s="200" t="s">
        <v>3958</v>
      </c>
      <c r="E90" s="201">
        <v>1784.64</v>
      </c>
      <c r="F90" s="38">
        <f>E90*(1-45%)</f>
        <v>981.55200000000013</v>
      </c>
      <c r="G90" s="41">
        <f>F90*B90</f>
        <v>0</v>
      </c>
      <c r="H90" s="39">
        <f>F90*0.03137</f>
        <v>30.791286240000005</v>
      </c>
      <c r="I90" s="40">
        <f>H90*B90</f>
        <v>0</v>
      </c>
      <c r="J90" s="39">
        <f>F90*0.0274</f>
        <v>26.894524800000003</v>
      </c>
      <c r="K90" s="40">
        <f>J90*B90</f>
        <v>0</v>
      </c>
      <c r="L90" s="39">
        <f>F90*0.0228</f>
        <v>22.379385600000003</v>
      </c>
      <c r="M90" s="39">
        <f>L90*B90</f>
        <v>0</v>
      </c>
      <c r="N90" s="39">
        <f>F90*0.0204</f>
        <v>20.023660800000005</v>
      </c>
      <c r="O90" s="39">
        <f>N90*B90</f>
        <v>0</v>
      </c>
      <c r="P90" s="39">
        <f>F90*0.0185</f>
        <v>18.158712000000001</v>
      </c>
      <c r="Q90" s="39">
        <f>P90*B90</f>
        <v>0</v>
      </c>
    </row>
    <row r="91" spans="1:17" s="198" customFormat="1" ht="13.5" thickBot="1">
      <c r="A91" s="1006"/>
      <c r="B91" s="416"/>
      <c r="C91" s="199" t="s">
        <v>1219</v>
      </c>
      <c r="D91" s="200" t="s">
        <v>1220</v>
      </c>
      <c r="E91" s="201">
        <v>20592</v>
      </c>
      <c r="F91" s="38">
        <f>E91*(1-45%)</f>
        <v>11325.6</v>
      </c>
      <c r="G91" s="41">
        <f>F91*B91</f>
        <v>0</v>
      </c>
      <c r="H91" s="39">
        <f>F91*0.03137</f>
        <v>355.28407200000004</v>
      </c>
      <c r="I91" s="40">
        <f>H91*B91</f>
        <v>0</v>
      </c>
      <c r="J91" s="39">
        <f>F91*0.0274</f>
        <v>310.32144</v>
      </c>
      <c r="K91" s="40">
        <f>J91*B91</f>
        <v>0</v>
      </c>
      <c r="L91" s="39">
        <f>F91*0.0228</f>
        <v>258.22368</v>
      </c>
      <c r="M91" s="39">
        <f>L91*B91</f>
        <v>0</v>
      </c>
      <c r="N91" s="39">
        <f>F91*0.0204</f>
        <v>231.04224000000002</v>
      </c>
      <c r="O91" s="39">
        <f>N91*B91</f>
        <v>0</v>
      </c>
      <c r="P91" s="39">
        <f>F91*0.0185</f>
        <v>209.52359999999999</v>
      </c>
      <c r="Q91" s="39">
        <f>P91*B91</f>
        <v>0</v>
      </c>
    </row>
    <row r="92" spans="1:17" s="291" customFormat="1" ht="13.5" thickBot="1">
      <c r="A92" s="1006"/>
      <c r="B92" s="416"/>
      <c r="C92" s="199" t="s">
        <v>1221</v>
      </c>
      <c r="D92" s="200" t="s">
        <v>1222</v>
      </c>
      <c r="E92" s="201">
        <v>1281.28</v>
      </c>
      <c r="F92" s="38">
        <f>E92*(1-45%)</f>
        <v>704.70400000000006</v>
      </c>
      <c r="G92" s="41">
        <f>F92*B92</f>
        <v>0</v>
      </c>
      <c r="H92" s="39">
        <f>F92*0.03137</f>
        <v>22.106564480000003</v>
      </c>
      <c r="I92" s="40">
        <f>H92*B92</f>
        <v>0</v>
      </c>
      <c r="J92" s="39">
        <f>F92*0.0274</f>
        <v>19.308889600000001</v>
      </c>
      <c r="K92" s="40">
        <f>J92*B92</f>
        <v>0</v>
      </c>
      <c r="L92" s="39">
        <f>F92*0.0228</f>
        <v>16.067251200000001</v>
      </c>
      <c r="M92" s="39">
        <f>L92*B92</f>
        <v>0</v>
      </c>
      <c r="N92" s="39">
        <f>F92*0.0204</f>
        <v>14.375961600000002</v>
      </c>
      <c r="O92" s="39">
        <f>N92*B92</f>
        <v>0</v>
      </c>
      <c r="P92" s="39">
        <f>F92*0.0185</f>
        <v>13.037024000000001</v>
      </c>
      <c r="Q92" s="39">
        <f>P92*B92</f>
        <v>0</v>
      </c>
    </row>
    <row r="93" spans="1:17" s="291" customFormat="1" ht="13.5" thickBot="1">
      <c r="A93" s="1006"/>
      <c r="B93" s="416"/>
      <c r="C93" s="199" t="s">
        <v>1223</v>
      </c>
      <c r="D93" s="200" t="s">
        <v>1224</v>
      </c>
      <c r="E93" s="201">
        <v>1019.2</v>
      </c>
      <c r="F93" s="38">
        <f t="shared" si="12"/>
        <v>560.56000000000006</v>
      </c>
      <c r="G93" s="41">
        <f t="shared" si="13"/>
        <v>0</v>
      </c>
      <c r="H93" s="39">
        <f t="shared" si="14"/>
        <v>17.584767200000002</v>
      </c>
      <c r="I93" s="40">
        <f t="shared" si="15"/>
        <v>0</v>
      </c>
      <c r="J93" s="39">
        <f t="shared" si="16"/>
        <v>15.359344000000002</v>
      </c>
      <c r="K93" s="40">
        <f t="shared" si="17"/>
        <v>0</v>
      </c>
      <c r="L93" s="39">
        <f t="shared" si="18"/>
        <v>12.780768000000002</v>
      </c>
      <c r="M93" s="39">
        <f t="shared" si="19"/>
        <v>0</v>
      </c>
      <c r="N93" s="39">
        <f t="shared" si="20"/>
        <v>11.435424000000001</v>
      </c>
      <c r="O93" s="39">
        <f t="shared" si="21"/>
        <v>0</v>
      </c>
      <c r="P93" s="39">
        <f t="shared" si="22"/>
        <v>10.37036</v>
      </c>
      <c r="Q93" s="39">
        <f t="shared" si="23"/>
        <v>0</v>
      </c>
    </row>
    <row r="94" spans="1:17" s="291" customFormat="1" ht="13.5" thickBot="1">
      <c r="A94" s="1006"/>
      <c r="B94" s="416"/>
      <c r="C94" s="199" t="s">
        <v>1225</v>
      </c>
      <c r="D94" s="200" t="s">
        <v>1226</v>
      </c>
      <c r="E94" s="201">
        <v>23968.880000000001</v>
      </c>
      <c r="F94" s="38">
        <f t="shared" si="12"/>
        <v>13182.884000000002</v>
      </c>
      <c r="G94" s="41">
        <f t="shared" si="13"/>
        <v>0</v>
      </c>
      <c r="H94" s="39">
        <f t="shared" si="14"/>
        <v>413.54707108000008</v>
      </c>
      <c r="I94" s="40">
        <f t="shared" si="15"/>
        <v>0</v>
      </c>
      <c r="J94" s="39">
        <f t="shared" si="16"/>
        <v>361.21102160000004</v>
      </c>
      <c r="K94" s="40">
        <f t="shared" si="17"/>
        <v>0</v>
      </c>
      <c r="L94" s="39">
        <f t="shared" si="18"/>
        <v>300.56975520000003</v>
      </c>
      <c r="M94" s="39">
        <f t="shared" si="19"/>
        <v>0</v>
      </c>
      <c r="N94" s="39">
        <f t="shared" si="20"/>
        <v>268.93083360000008</v>
      </c>
      <c r="O94" s="39">
        <f t="shared" si="21"/>
        <v>0</v>
      </c>
      <c r="P94" s="39">
        <f t="shared" si="22"/>
        <v>243.88335400000003</v>
      </c>
      <c r="Q94" s="39">
        <f t="shared" si="23"/>
        <v>0</v>
      </c>
    </row>
    <row r="95" spans="1:17" s="291" customFormat="1" ht="13.5" thickBot="1">
      <c r="A95" s="1006"/>
      <c r="B95" s="416"/>
      <c r="C95" s="199" t="s">
        <v>3959</v>
      </c>
      <c r="D95" s="200" t="s">
        <v>3960</v>
      </c>
      <c r="E95" s="201">
        <v>12000</v>
      </c>
      <c r="F95" s="38">
        <f t="shared" si="12"/>
        <v>6600.0000000000009</v>
      </c>
      <c r="G95" s="41">
        <f t="shared" si="13"/>
        <v>0</v>
      </c>
      <c r="H95" s="39">
        <f t="shared" si="14"/>
        <v>207.04200000000003</v>
      </c>
      <c r="I95" s="40">
        <f t="shared" si="15"/>
        <v>0</v>
      </c>
      <c r="J95" s="39">
        <f t="shared" si="16"/>
        <v>180.84000000000003</v>
      </c>
      <c r="K95" s="40">
        <f t="shared" si="17"/>
        <v>0</v>
      </c>
      <c r="L95" s="39">
        <f t="shared" si="18"/>
        <v>150.48000000000002</v>
      </c>
      <c r="M95" s="39">
        <f t="shared" si="19"/>
        <v>0</v>
      </c>
      <c r="N95" s="39">
        <f t="shared" si="20"/>
        <v>134.64000000000001</v>
      </c>
      <c r="O95" s="39">
        <f t="shared" si="21"/>
        <v>0</v>
      </c>
      <c r="P95" s="39">
        <f t="shared" si="22"/>
        <v>122.10000000000001</v>
      </c>
      <c r="Q95" s="39">
        <f t="shared" si="23"/>
        <v>0</v>
      </c>
    </row>
    <row r="96" spans="1:17" s="291" customFormat="1" ht="13.5" thickBot="1">
      <c r="A96" s="1006"/>
      <c r="B96" s="416"/>
      <c r="C96" s="199" t="s">
        <v>1227</v>
      </c>
      <c r="D96" s="200" t="s">
        <v>1228</v>
      </c>
      <c r="E96" s="201">
        <v>18000</v>
      </c>
      <c r="F96" s="38">
        <f t="shared" si="12"/>
        <v>9900</v>
      </c>
      <c r="G96" s="41">
        <f t="shared" si="13"/>
        <v>0</v>
      </c>
      <c r="H96" s="39">
        <f t="shared" si="14"/>
        <v>310.56300000000005</v>
      </c>
      <c r="I96" s="40">
        <f t="shared" si="15"/>
        <v>0</v>
      </c>
      <c r="J96" s="39">
        <f t="shared" si="16"/>
        <v>271.26</v>
      </c>
      <c r="K96" s="40">
        <f t="shared" si="17"/>
        <v>0</v>
      </c>
      <c r="L96" s="39">
        <f t="shared" si="18"/>
        <v>225.72</v>
      </c>
      <c r="M96" s="39">
        <f t="shared" si="19"/>
        <v>0</v>
      </c>
      <c r="N96" s="39">
        <f t="shared" si="20"/>
        <v>201.96</v>
      </c>
      <c r="O96" s="39">
        <f t="shared" si="21"/>
        <v>0</v>
      </c>
      <c r="P96" s="39">
        <f t="shared" si="22"/>
        <v>183.14999999999998</v>
      </c>
      <c r="Q96" s="39">
        <f t="shared" si="23"/>
        <v>0</v>
      </c>
    </row>
    <row r="97" spans="1:17" s="519" customFormat="1" ht="13.5" thickBot="1">
      <c r="A97" s="1006"/>
      <c r="B97" s="416"/>
      <c r="C97" s="709" t="s">
        <v>1138</v>
      </c>
      <c r="D97" s="199" t="s">
        <v>1139</v>
      </c>
      <c r="E97" s="424">
        <v>509.6</v>
      </c>
      <c r="F97" s="38">
        <f t="shared" si="12"/>
        <v>280.28000000000003</v>
      </c>
      <c r="G97" s="41">
        <f t="shared" si="13"/>
        <v>0</v>
      </c>
      <c r="H97" s="39">
        <f t="shared" si="14"/>
        <v>8.7923836000000009</v>
      </c>
      <c r="I97" s="40">
        <f t="shared" si="15"/>
        <v>0</v>
      </c>
      <c r="J97" s="39">
        <f t="shared" si="16"/>
        <v>7.6796720000000009</v>
      </c>
      <c r="K97" s="40">
        <f t="shared" si="17"/>
        <v>0</v>
      </c>
      <c r="L97" s="39">
        <f t="shared" si="18"/>
        <v>6.390384000000001</v>
      </c>
      <c r="M97" s="39">
        <f t="shared" si="19"/>
        <v>0</v>
      </c>
      <c r="N97" s="39">
        <f t="shared" si="20"/>
        <v>5.7177120000000006</v>
      </c>
      <c r="O97" s="39">
        <f t="shared" si="21"/>
        <v>0</v>
      </c>
      <c r="P97" s="39">
        <f t="shared" si="22"/>
        <v>5.1851799999999999</v>
      </c>
      <c r="Q97" s="39">
        <f t="shared" si="23"/>
        <v>0</v>
      </c>
    </row>
    <row r="98" spans="1:17" s="291" customFormat="1" ht="13.5" thickBot="1">
      <c r="A98" s="1006"/>
      <c r="B98" s="416"/>
      <c r="C98" s="199" t="s">
        <v>1142</v>
      </c>
      <c r="D98" s="200" t="s">
        <v>1143</v>
      </c>
      <c r="E98" s="201">
        <v>1630.72</v>
      </c>
      <c r="F98" s="38">
        <f t="shared" si="12"/>
        <v>896.89600000000007</v>
      </c>
      <c r="G98" s="41">
        <f t="shared" si="13"/>
        <v>0</v>
      </c>
      <c r="H98" s="39">
        <f t="shared" si="14"/>
        <v>28.135627520000003</v>
      </c>
      <c r="I98" s="40">
        <f t="shared" si="15"/>
        <v>0</v>
      </c>
      <c r="J98" s="39">
        <f t="shared" si="16"/>
        <v>24.574950400000002</v>
      </c>
      <c r="K98" s="40">
        <f t="shared" si="17"/>
        <v>0</v>
      </c>
      <c r="L98" s="39">
        <f t="shared" si="18"/>
        <v>20.449228800000004</v>
      </c>
      <c r="M98" s="39">
        <f t="shared" si="19"/>
        <v>0</v>
      </c>
      <c r="N98" s="39">
        <f t="shared" si="20"/>
        <v>18.296678400000001</v>
      </c>
      <c r="O98" s="39">
        <f t="shared" si="21"/>
        <v>0</v>
      </c>
      <c r="P98" s="39">
        <f t="shared" si="22"/>
        <v>16.592576000000001</v>
      </c>
      <c r="Q98" s="39">
        <f t="shared" si="23"/>
        <v>0</v>
      </c>
    </row>
    <row r="99" spans="1:17" s="291" customFormat="1" ht="13.5" thickBot="1">
      <c r="A99" s="1006"/>
      <c r="B99" s="416"/>
      <c r="C99" s="199" t="s">
        <v>1229</v>
      </c>
      <c r="D99" s="200" t="s">
        <v>1230</v>
      </c>
      <c r="E99" s="201">
        <v>3840.72</v>
      </c>
      <c r="F99" s="38">
        <f t="shared" si="12"/>
        <v>2112.3960000000002</v>
      </c>
      <c r="G99" s="41">
        <f t="shared" si="13"/>
        <v>0</v>
      </c>
      <c r="H99" s="39">
        <f t="shared" si="14"/>
        <v>66.265862520000013</v>
      </c>
      <c r="I99" s="40">
        <f t="shared" si="15"/>
        <v>0</v>
      </c>
      <c r="J99" s="39">
        <f t="shared" si="16"/>
        <v>57.87965040000001</v>
      </c>
      <c r="K99" s="40">
        <f t="shared" si="17"/>
        <v>0</v>
      </c>
      <c r="L99" s="39">
        <f t="shared" si="18"/>
        <v>48.162628800000007</v>
      </c>
      <c r="M99" s="39">
        <f t="shared" si="19"/>
        <v>0</v>
      </c>
      <c r="N99" s="39">
        <f t="shared" si="20"/>
        <v>43.092878400000004</v>
      </c>
      <c r="O99" s="39">
        <f t="shared" si="21"/>
        <v>0</v>
      </c>
      <c r="P99" s="39">
        <f t="shared" si="22"/>
        <v>39.079326000000002</v>
      </c>
      <c r="Q99" s="39">
        <f t="shared" si="23"/>
        <v>0</v>
      </c>
    </row>
    <row r="100" spans="1:17" s="291" customFormat="1" ht="13.5" thickBot="1">
      <c r="A100" s="1006"/>
      <c r="B100" s="416"/>
      <c r="C100" s="199" t="s">
        <v>1152</v>
      </c>
      <c r="D100" s="200" t="s">
        <v>1231</v>
      </c>
      <c r="E100" s="201">
        <v>4345.12</v>
      </c>
      <c r="F100" s="38">
        <f t="shared" si="12"/>
        <v>2389.8160000000003</v>
      </c>
      <c r="G100" s="41">
        <f t="shared" si="13"/>
        <v>0</v>
      </c>
      <c r="H100" s="39">
        <f t="shared" si="14"/>
        <v>74.968527920000014</v>
      </c>
      <c r="I100" s="40">
        <f t="shared" si="15"/>
        <v>0</v>
      </c>
      <c r="J100" s="39">
        <f>F100*0.02564</f>
        <v>61.274882240000004</v>
      </c>
      <c r="K100" s="40">
        <f t="shared" si="17"/>
        <v>0</v>
      </c>
      <c r="L100" s="39">
        <f>F100*0.0256</f>
        <v>61.179289600000011</v>
      </c>
      <c r="M100" s="39">
        <f t="shared" si="19"/>
        <v>0</v>
      </c>
      <c r="N100" s="39">
        <f t="shared" si="20"/>
        <v>48.752246400000011</v>
      </c>
      <c r="O100" s="39">
        <f t="shared" si="21"/>
        <v>0</v>
      </c>
      <c r="P100" s="39">
        <f t="shared" si="22"/>
        <v>44.211596</v>
      </c>
      <c r="Q100" s="39">
        <f t="shared" si="23"/>
        <v>0</v>
      </c>
    </row>
    <row r="101" spans="1:17" s="291" customFormat="1" ht="13.5" thickBot="1">
      <c r="A101" s="1006"/>
      <c r="B101" s="416"/>
      <c r="C101" s="427" t="s">
        <v>1232</v>
      </c>
      <c r="D101" s="200" t="s">
        <v>1233</v>
      </c>
      <c r="E101" s="201">
        <v>51294.879999999997</v>
      </c>
      <c r="F101" s="38">
        <f t="shared" si="12"/>
        <v>28212.184000000001</v>
      </c>
      <c r="G101" s="41">
        <f t="shared" si="13"/>
        <v>0</v>
      </c>
      <c r="H101" s="39">
        <f t="shared" si="14"/>
        <v>885.01621208000006</v>
      </c>
      <c r="I101" s="40">
        <f t="shared" si="15"/>
        <v>0</v>
      </c>
      <c r="J101" s="39">
        <f t="shared" ref="J101:J119" si="24">F101*0.0274</f>
        <v>773.01384160000009</v>
      </c>
      <c r="K101" s="40">
        <f t="shared" si="17"/>
        <v>0</v>
      </c>
      <c r="L101" s="39">
        <f t="shared" ref="L101:L136" si="25">F101*0.0228</f>
        <v>643.23779520000005</v>
      </c>
      <c r="M101" s="39">
        <f t="shared" si="19"/>
        <v>0</v>
      </c>
      <c r="N101" s="39">
        <f t="shared" si="20"/>
        <v>575.52855360000001</v>
      </c>
      <c r="O101" s="39">
        <f t="shared" si="21"/>
        <v>0</v>
      </c>
      <c r="P101" s="39">
        <f t="shared" si="22"/>
        <v>521.92540399999996</v>
      </c>
      <c r="Q101" s="39">
        <f t="shared" si="23"/>
        <v>0</v>
      </c>
    </row>
    <row r="102" spans="1:17" s="291" customFormat="1" ht="13.5" thickBot="1">
      <c r="A102" s="1006"/>
      <c r="B102" s="416"/>
      <c r="C102" s="199" t="s">
        <v>3961</v>
      </c>
      <c r="D102" s="200" t="s">
        <v>1234</v>
      </c>
      <c r="E102" s="201">
        <v>6406.4</v>
      </c>
      <c r="F102" s="38">
        <f t="shared" si="12"/>
        <v>3523.52</v>
      </c>
      <c r="G102" s="41">
        <f t="shared" si="13"/>
        <v>0</v>
      </c>
      <c r="H102" s="39">
        <f t="shared" si="14"/>
        <v>110.5328224</v>
      </c>
      <c r="I102" s="40">
        <f t="shared" si="15"/>
        <v>0</v>
      </c>
      <c r="J102" s="39">
        <f t="shared" si="24"/>
        <v>96.544448000000003</v>
      </c>
      <c r="K102" s="40">
        <f t="shared" si="17"/>
        <v>0</v>
      </c>
      <c r="L102" s="39">
        <f t="shared" si="25"/>
        <v>80.336256000000006</v>
      </c>
      <c r="M102" s="39">
        <f t="shared" si="19"/>
        <v>0</v>
      </c>
      <c r="N102" s="39">
        <f t="shared" si="20"/>
        <v>71.879808000000011</v>
      </c>
      <c r="O102" s="39">
        <f t="shared" si="21"/>
        <v>0</v>
      </c>
      <c r="P102" s="39">
        <f t="shared" si="22"/>
        <v>65.185119999999998</v>
      </c>
      <c r="Q102" s="39">
        <f t="shared" si="23"/>
        <v>0</v>
      </c>
    </row>
    <row r="103" spans="1:17" s="291" customFormat="1" ht="13.5" thickBot="1">
      <c r="A103" s="1006"/>
      <c r="B103" s="416"/>
      <c r="C103" s="199" t="s">
        <v>1235</v>
      </c>
      <c r="D103" s="200" t="s">
        <v>1381</v>
      </c>
      <c r="E103" s="201">
        <v>4484.4799999999996</v>
      </c>
      <c r="F103" s="38">
        <f t="shared" si="12"/>
        <v>2466.4639999999999</v>
      </c>
      <c r="G103" s="41">
        <f t="shared" si="13"/>
        <v>0</v>
      </c>
      <c r="H103" s="39">
        <f t="shared" si="14"/>
        <v>77.372975679999996</v>
      </c>
      <c r="I103" s="40">
        <f t="shared" si="15"/>
        <v>0</v>
      </c>
      <c r="J103" s="39">
        <f t="shared" si="24"/>
        <v>67.581113599999995</v>
      </c>
      <c r="K103" s="40">
        <f t="shared" si="17"/>
        <v>0</v>
      </c>
      <c r="L103" s="39">
        <f t="shared" si="25"/>
        <v>56.235379200000004</v>
      </c>
      <c r="M103" s="39">
        <f t="shared" si="19"/>
        <v>0</v>
      </c>
      <c r="N103" s="39">
        <f t="shared" si="20"/>
        <v>50.315865600000002</v>
      </c>
      <c r="O103" s="39">
        <f t="shared" si="21"/>
        <v>0</v>
      </c>
      <c r="P103" s="39">
        <f t="shared" si="22"/>
        <v>45.629583999999994</v>
      </c>
      <c r="Q103" s="39">
        <f t="shared" si="23"/>
        <v>0</v>
      </c>
    </row>
    <row r="104" spans="1:17" s="291" customFormat="1" ht="13.5" thickBot="1">
      <c r="A104" s="1006"/>
      <c r="B104" s="416"/>
      <c r="C104" s="199" t="s">
        <v>1171</v>
      </c>
      <c r="D104" s="200" t="s">
        <v>1172</v>
      </c>
      <c r="E104" s="201">
        <v>7385.04</v>
      </c>
      <c r="F104" s="38">
        <f t="shared" si="12"/>
        <v>4061.7720000000004</v>
      </c>
      <c r="G104" s="41">
        <f t="shared" si="13"/>
        <v>0</v>
      </c>
      <c r="H104" s="39">
        <f t="shared" si="14"/>
        <v>127.41778764000001</v>
      </c>
      <c r="I104" s="40">
        <f t="shared" si="15"/>
        <v>0</v>
      </c>
      <c r="J104" s="39">
        <f t="shared" si="24"/>
        <v>111.29255280000001</v>
      </c>
      <c r="K104" s="40">
        <f t="shared" si="17"/>
        <v>0</v>
      </c>
      <c r="L104" s="39">
        <f t="shared" si="25"/>
        <v>92.608401600000008</v>
      </c>
      <c r="M104" s="39">
        <f t="shared" si="19"/>
        <v>0</v>
      </c>
      <c r="N104" s="39">
        <f t="shared" si="20"/>
        <v>82.860148800000019</v>
      </c>
      <c r="O104" s="39">
        <f t="shared" si="21"/>
        <v>0</v>
      </c>
      <c r="P104" s="39">
        <f t="shared" si="22"/>
        <v>75.142781999999997</v>
      </c>
      <c r="Q104" s="39">
        <f t="shared" si="23"/>
        <v>0</v>
      </c>
    </row>
    <row r="105" spans="1:17" s="291" customFormat="1" ht="13.5" thickBot="1">
      <c r="A105" s="1006"/>
      <c r="B105" s="416"/>
      <c r="C105" s="199" t="s">
        <v>1236</v>
      </c>
      <c r="D105" s="200" t="s">
        <v>1237</v>
      </c>
      <c r="E105" s="201">
        <v>12102.48</v>
      </c>
      <c r="F105" s="38">
        <f t="shared" si="12"/>
        <v>6656.3640000000005</v>
      </c>
      <c r="G105" s="41">
        <f t="shared" si="13"/>
        <v>0</v>
      </c>
      <c r="H105" s="39">
        <f t="shared" si="14"/>
        <v>208.81013868000002</v>
      </c>
      <c r="I105" s="40">
        <f t="shared" si="15"/>
        <v>0</v>
      </c>
      <c r="J105" s="39">
        <f t="shared" si="24"/>
        <v>182.38437360000003</v>
      </c>
      <c r="K105" s="40">
        <f t="shared" si="17"/>
        <v>0</v>
      </c>
      <c r="L105" s="39">
        <f t="shared" si="25"/>
        <v>151.76509920000001</v>
      </c>
      <c r="M105" s="39">
        <f t="shared" si="19"/>
        <v>0</v>
      </c>
      <c r="N105" s="39">
        <f t="shared" si="20"/>
        <v>135.78982560000003</v>
      </c>
      <c r="O105" s="39">
        <f t="shared" si="21"/>
        <v>0</v>
      </c>
      <c r="P105" s="39">
        <f t="shared" si="22"/>
        <v>123.142734</v>
      </c>
      <c r="Q105" s="39">
        <f t="shared" si="23"/>
        <v>0</v>
      </c>
    </row>
    <row r="106" spans="1:17" s="291" customFormat="1" ht="13.5" thickBot="1">
      <c r="A106" s="1006"/>
      <c r="B106" s="416"/>
      <c r="C106" s="199" t="s">
        <v>1132</v>
      </c>
      <c r="D106" s="200" t="s">
        <v>1133</v>
      </c>
      <c r="E106" s="201">
        <v>1274</v>
      </c>
      <c r="F106" s="38">
        <f t="shared" si="12"/>
        <v>700.7</v>
      </c>
      <c r="G106" s="41">
        <f t="shared" si="13"/>
        <v>0</v>
      </c>
      <c r="H106" s="39">
        <f t="shared" si="14"/>
        <v>21.980959000000002</v>
      </c>
      <c r="I106" s="40">
        <f t="shared" si="15"/>
        <v>0</v>
      </c>
      <c r="J106" s="39">
        <f t="shared" si="24"/>
        <v>19.199180000000002</v>
      </c>
      <c r="K106" s="40">
        <f t="shared" si="17"/>
        <v>0</v>
      </c>
      <c r="L106" s="39">
        <f t="shared" si="25"/>
        <v>15.975960000000002</v>
      </c>
      <c r="M106" s="39">
        <f t="shared" si="19"/>
        <v>0</v>
      </c>
      <c r="N106" s="39">
        <f t="shared" si="20"/>
        <v>14.294280000000002</v>
      </c>
      <c r="O106" s="39">
        <f t="shared" si="21"/>
        <v>0</v>
      </c>
      <c r="P106" s="39">
        <f t="shared" si="22"/>
        <v>12.962950000000001</v>
      </c>
      <c r="Q106" s="39">
        <f t="shared" si="23"/>
        <v>0</v>
      </c>
    </row>
    <row r="107" spans="1:17" s="291" customFormat="1" ht="13.5" thickBot="1">
      <c r="A107" s="1006"/>
      <c r="B107" s="416"/>
      <c r="C107" s="199" t="s">
        <v>1150</v>
      </c>
      <c r="D107" s="200" t="s">
        <v>1151</v>
      </c>
      <c r="E107" s="201">
        <v>955.76</v>
      </c>
      <c r="F107" s="38">
        <f t="shared" si="12"/>
        <v>525.66800000000001</v>
      </c>
      <c r="G107" s="41">
        <f t="shared" si="13"/>
        <v>0</v>
      </c>
      <c r="H107" s="39">
        <f t="shared" si="14"/>
        <v>16.490205160000002</v>
      </c>
      <c r="I107" s="40">
        <f t="shared" si="15"/>
        <v>0</v>
      </c>
      <c r="J107" s="39">
        <f t="shared" si="24"/>
        <v>14.4033032</v>
      </c>
      <c r="K107" s="40">
        <f t="shared" si="17"/>
        <v>0</v>
      </c>
      <c r="L107" s="39">
        <f t="shared" si="25"/>
        <v>11.985230400000001</v>
      </c>
      <c r="M107" s="39">
        <f t="shared" si="19"/>
        <v>0</v>
      </c>
      <c r="N107" s="39">
        <f t="shared" si="20"/>
        <v>10.723627200000001</v>
      </c>
      <c r="O107" s="39">
        <f t="shared" si="21"/>
        <v>0</v>
      </c>
      <c r="P107" s="39">
        <f t="shared" si="22"/>
        <v>9.7248579999999993</v>
      </c>
      <c r="Q107" s="39">
        <f t="shared" si="23"/>
        <v>0</v>
      </c>
    </row>
    <row r="108" spans="1:17" s="291" customFormat="1" ht="13.5" thickBot="1">
      <c r="A108" s="1006"/>
      <c r="B108" s="416"/>
      <c r="C108" s="199" t="s">
        <v>1238</v>
      </c>
      <c r="D108" s="200" t="s">
        <v>1239</v>
      </c>
      <c r="E108" s="201">
        <v>1610.28</v>
      </c>
      <c r="F108" s="38">
        <f t="shared" si="12"/>
        <v>885.65400000000011</v>
      </c>
      <c r="G108" s="41">
        <f t="shared" si="13"/>
        <v>0</v>
      </c>
      <c r="H108" s="39">
        <f t="shared" si="14"/>
        <v>27.782965980000004</v>
      </c>
      <c r="I108" s="40">
        <f t="shared" si="15"/>
        <v>0</v>
      </c>
      <c r="J108" s="39">
        <f t="shared" si="24"/>
        <v>24.266919600000005</v>
      </c>
      <c r="K108" s="40">
        <f t="shared" si="17"/>
        <v>0</v>
      </c>
      <c r="L108" s="39">
        <f t="shared" si="25"/>
        <v>20.192911200000005</v>
      </c>
      <c r="M108" s="39">
        <f t="shared" si="19"/>
        <v>0</v>
      </c>
      <c r="N108" s="39">
        <f t="shared" si="20"/>
        <v>18.067341600000002</v>
      </c>
      <c r="O108" s="39">
        <f t="shared" si="21"/>
        <v>0</v>
      </c>
      <c r="P108" s="39">
        <f t="shared" si="22"/>
        <v>16.384599000000001</v>
      </c>
      <c r="Q108" s="39">
        <f t="shared" si="23"/>
        <v>0</v>
      </c>
    </row>
    <row r="109" spans="1:17" s="291" customFormat="1" ht="13.5" thickBot="1">
      <c r="A109" s="1006"/>
      <c r="B109" s="416"/>
      <c r="C109" s="199" t="s">
        <v>3962</v>
      </c>
      <c r="D109" s="200" t="s">
        <v>3963</v>
      </c>
      <c r="E109" s="201">
        <v>1610.28</v>
      </c>
      <c r="F109" s="38">
        <f t="shared" si="12"/>
        <v>885.65400000000011</v>
      </c>
      <c r="G109" s="41">
        <f t="shared" si="13"/>
        <v>0</v>
      </c>
      <c r="H109" s="39">
        <f t="shared" si="14"/>
        <v>27.782965980000004</v>
      </c>
      <c r="I109" s="40">
        <f t="shared" si="15"/>
        <v>0</v>
      </c>
      <c r="J109" s="39">
        <f t="shared" si="24"/>
        <v>24.266919600000005</v>
      </c>
      <c r="K109" s="40">
        <f t="shared" si="17"/>
        <v>0</v>
      </c>
      <c r="L109" s="39">
        <f t="shared" si="25"/>
        <v>20.192911200000005</v>
      </c>
      <c r="M109" s="39">
        <f t="shared" si="19"/>
        <v>0</v>
      </c>
      <c r="N109" s="39">
        <f t="shared" si="20"/>
        <v>18.067341600000002</v>
      </c>
      <c r="O109" s="39">
        <f t="shared" si="21"/>
        <v>0</v>
      </c>
      <c r="P109" s="39">
        <f t="shared" si="22"/>
        <v>16.384599000000001</v>
      </c>
      <c r="Q109" s="39">
        <f t="shared" si="23"/>
        <v>0</v>
      </c>
    </row>
    <row r="110" spans="1:17" s="291" customFormat="1" ht="26.25" thickBot="1">
      <c r="A110" s="1006"/>
      <c r="B110" s="416"/>
      <c r="C110" s="199" t="s">
        <v>3964</v>
      </c>
      <c r="D110" s="200" t="s">
        <v>3965</v>
      </c>
      <c r="E110" s="201">
        <v>2514.2399999999998</v>
      </c>
      <c r="F110" s="38">
        <f t="shared" si="12"/>
        <v>1382.8319999999999</v>
      </c>
      <c r="G110" s="41">
        <f t="shared" si="13"/>
        <v>0</v>
      </c>
      <c r="H110" s="39">
        <f t="shared" si="14"/>
        <v>43.379439839999996</v>
      </c>
      <c r="I110" s="40">
        <f t="shared" si="15"/>
        <v>0</v>
      </c>
      <c r="J110" s="39">
        <f t="shared" si="24"/>
        <v>37.8895968</v>
      </c>
      <c r="K110" s="40">
        <f t="shared" si="17"/>
        <v>0</v>
      </c>
      <c r="L110" s="39">
        <f t="shared" si="25"/>
        <v>31.528569599999997</v>
      </c>
      <c r="M110" s="39">
        <f t="shared" si="19"/>
        <v>0</v>
      </c>
      <c r="N110" s="39">
        <f t="shared" si="20"/>
        <v>28.2097728</v>
      </c>
      <c r="O110" s="39">
        <f t="shared" si="21"/>
        <v>0</v>
      </c>
      <c r="P110" s="39">
        <f t="shared" si="22"/>
        <v>25.582391999999995</v>
      </c>
      <c r="Q110" s="39">
        <f t="shared" si="23"/>
        <v>0</v>
      </c>
    </row>
    <row r="111" spans="1:17" s="291" customFormat="1" ht="26.25" thickBot="1">
      <c r="A111" s="1006"/>
      <c r="B111" s="416"/>
      <c r="C111" s="199" t="s">
        <v>3966</v>
      </c>
      <c r="D111" s="200" t="s">
        <v>3967</v>
      </c>
      <c r="E111" s="201">
        <v>31146.560000000001</v>
      </c>
      <c r="F111" s="38">
        <f t="shared" si="12"/>
        <v>17130.608000000004</v>
      </c>
      <c r="G111" s="41">
        <f t="shared" si="13"/>
        <v>0</v>
      </c>
      <c r="H111" s="39">
        <f t="shared" si="14"/>
        <v>537.38717296000016</v>
      </c>
      <c r="I111" s="40">
        <f t="shared" si="15"/>
        <v>0</v>
      </c>
      <c r="J111" s="39">
        <f t="shared" si="24"/>
        <v>469.37865920000013</v>
      </c>
      <c r="K111" s="40">
        <f t="shared" si="17"/>
        <v>0</v>
      </c>
      <c r="L111" s="39">
        <f t="shared" si="25"/>
        <v>390.57786240000013</v>
      </c>
      <c r="M111" s="39">
        <f t="shared" si="19"/>
        <v>0</v>
      </c>
      <c r="N111" s="39">
        <f t="shared" si="20"/>
        <v>349.46440320000011</v>
      </c>
      <c r="O111" s="39">
        <f t="shared" si="21"/>
        <v>0</v>
      </c>
      <c r="P111" s="39">
        <f t="shared" si="22"/>
        <v>316.91624800000005</v>
      </c>
      <c r="Q111" s="39">
        <f t="shared" si="23"/>
        <v>0</v>
      </c>
    </row>
    <row r="112" spans="1:17" s="198" customFormat="1" ht="13.5" thickBot="1">
      <c r="A112" s="1006"/>
      <c r="B112" s="416"/>
      <c r="C112" s="199">
        <v>13200002</v>
      </c>
      <c r="D112" s="200" t="s">
        <v>1240</v>
      </c>
      <c r="E112" s="201">
        <v>663.05</v>
      </c>
      <c r="F112" s="38">
        <f t="shared" si="12"/>
        <v>364.67750000000001</v>
      </c>
      <c r="G112" s="41">
        <f t="shared" si="13"/>
        <v>0</v>
      </c>
      <c r="H112" s="39">
        <f t="shared" si="14"/>
        <v>11.439933175</v>
      </c>
      <c r="I112" s="40">
        <f t="shared" si="15"/>
        <v>0</v>
      </c>
      <c r="J112" s="39">
        <f t="shared" si="24"/>
        <v>9.9921635000000002</v>
      </c>
      <c r="K112" s="40">
        <f t="shared" si="17"/>
        <v>0</v>
      </c>
      <c r="L112" s="39">
        <f t="shared" si="25"/>
        <v>8.3146470000000008</v>
      </c>
      <c r="M112" s="39">
        <f t="shared" si="19"/>
        <v>0</v>
      </c>
      <c r="N112" s="39">
        <f t="shared" si="20"/>
        <v>7.4394210000000003</v>
      </c>
      <c r="O112" s="39">
        <f t="shared" si="21"/>
        <v>0</v>
      </c>
      <c r="P112" s="39">
        <f t="shared" si="22"/>
        <v>6.7465337500000002</v>
      </c>
      <c r="Q112" s="39">
        <f t="shared" si="23"/>
        <v>0</v>
      </c>
    </row>
    <row r="113" spans="1:17" s="198" customFormat="1" ht="13.5" thickBot="1">
      <c r="A113" s="1006"/>
      <c r="B113" s="416"/>
      <c r="C113" s="199" t="s">
        <v>1241</v>
      </c>
      <c r="D113" s="200" t="s">
        <v>1242</v>
      </c>
      <c r="E113" s="201">
        <v>7546.63</v>
      </c>
      <c r="F113" s="38">
        <f t="shared" si="12"/>
        <v>4150.6465000000007</v>
      </c>
      <c r="G113" s="41">
        <f t="shared" si="13"/>
        <v>0</v>
      </c>
      <c r="H113" s="39">
        <f t="shared" si="14"/>
        <v>130.20578070500002</v>
      </c>
      <c r="I113" s="40">
        <f t="shared" si="15"/>
        <v>0</v>
      </c>
      <c r="J113" s="39">
        <f t="shared" si="24"/>
        <v>113.72771410000003</v>
      </c>
      <c r="K113" s="40">
        <f t="shared" si="17"/>
        <v>0</v>
      </c>
      <c r="L113" s="39">
        <f t="shared" si="25"/>
        <v>94.634740200000024</v>
      </c>
      <c r="M113" s="39">
        <f t="shared" si="19"/>
        <v>0</v>
      </c>
      <c r="N113" s="39">
        <f t="shared" si="20"/>
        <v>84.673188600000017</v>
      </c>
      <c r="O113" s="39">
        <f t="shared" si="21"/>
        <v>0</v>
      </c>
      <c r="P113" s="39">
        <f t="shared" si="22"/>
        <v>76.786960250000007</v>
      </c>
      <c r="Q113" s="39">
        <f t="shared" si="23"/>
        <v>0</v>
      </c>
    </row>
    <row r="114" spans="1:17" s="198" customFormat="1" ht="13.5" thickBot="1">
      <c r="A114" s="1006"/>
      <c r="B114" s="416"/>
      <c r="C114" s="199" t="s">
        <v>3968</v>
      </c>
      <c r="D114" s="200" t="s">
        <v>3969</v>
      </c>
      <c r="E114" s="201">
        <v>0</v>
      </c>
      <c r="F114" s="38">
        <f t="shared" si="12"/>
        <v>0</v>
      </c>
      <c r="G114" s="41">
        <f t="shared" si="13"/>
        <v>0</v>
      </c>
      <c r="H114" s="39">
        <f t="shared" si="14"/>
        <v>0</v>
      </c>
      <c r="I114" s="40">
        <f t="shared" si="15"/>
        <v>0</v>
      </c>
      <c r="J114" s="39">
        <f t="shared" si="24"/>
        <v>0</v>
      </c>
      <c r="K114" s="40">
        <f t="shared" si="17"/>
        <v>0</v>
      </c>
      <c r="L114" s="39">
        <f t="shared" si="25"/>
        <v>0</v>
      </c>
      <c r="M114" s="39">
        <f t="shared" si="19"/>
        <v>0</v>
      </c>
      <c r="N114" s="39">
        <f t="shared" si="20"/>
        <v>0</v>
      </c>
      <c r="O114" s="39">
        <f t="shared" si="21"/>
        <v>0</v>
      </c>
      <c r="P114" s="39">
        <f t="shared" si="22"/>
        <v>0</v>
      </c>
      <c r="Q114" s="39">
        <f t="shared" si="23"/>
        <v>0</v>
      </c>
    </row>
    <row r="115" spans="1:17" s="291" customFormat="1" ht="13.5" thickBot="1">
      <c r="A115" s="1006"/>
      <c r="B115" s="416"/>
      <c r="C115" s="199" t="s">
        <v>1243</v>
      </c>
      <c r="D115" s="200" t="s">
        <v>1244</v>
      </c>
      <c r="E115" s="201">
        <v>51145.96</v>
      </c>
      <c r="F115" s="38">
        <f t="shared" si="12"/>
        <v>28130.278000000002</v>
      </c>
      <c r="G115" s="41">
        <f t="shared" si="13"/>
        <v>0</v>
      </c>
      <c r="H115" s="39">
        <f t="shared" si="14"/>
        <v>882.44682086000012</v>
      </c>
      <c r="I115" s="40">
        <f t="shared" si="15"/>
        <v>0</v>
      </c>
      <c r="J115" s="39">
        <f t="shared" si="24"/>
        <v>770.76961720000008</v>
      </c>
      <c r="K115" s="40">
        <f t="shared" si="17"/>
        <v>0</v>
      </c>
      <c r="L115" s="39">
        <f t="shared" si="25"/>
        <v>641.37033840000004</v>
      </c>
      <c r="M115" s="39">
        <f t="shared" si="19"/>
        <v>0</v>
      </c>
      <c r="N115" s="39">
        <f t="shared" si="20"/>
        <v>573.85767120000003</v>
      </c>
      <c r="O115" s="39">
        <f t="shared" si="21"/>
        <v>0</v>
      </c>
      <c r="P115" s="39">
        <f t="shared" si="22"/>
        <v>520.41014300000006</v>
      </c>
      <c r="Q115" s="39">
        <f t="shared" si="23"/>
        <v>0</v>
      </c>
    </row>
    <row r="116" spans="1:17" s="291" customFormat="1" ht="13.5" thickBot="1">
      <c r="A116" s="1006"/>
      <c r="B116" s="416"/>
      <c r="C116" s="199" t="s">
        <v>3970</v>
      </c>
      <c r="D116" s="200" t="s">
        <v>3971</v>
      </c>
      <c r="E116" s="201">
        <v>26114.75</v>
      </c>
      <c r="F116" s="38">
        <f t="shared" si="12"/>
        <v>14363.112500000001</v>
      </c>
      <c r="G116" s="41">
        <f t="shared" si="13"/>
        <v>0</v>
      </c>
      <c r="H116" s="39">
        <f t="shared" si="14"/>
        <v>450.57083912500008</v>
      </c>
      <c r="I116" s="40">
        <f t="shared" si="15"/>
        <v>0</v>
      </c>
      <c r="J116" s="39">
        <f t="shared" si="24"/>
        <v>393.54928250000006</v>
      </c>
      <c r="K116" s="40">
        <f t="shared" si="17"/>
        <v>0</v>
      </c>
      <c r="L116" s="39">
        <f t="shared" si="25"/>
        <v>327.47896500000002</v>
      </c>
      <c r="M116" s="39">
        <f t="shared" si="19"/>
        <v>0</v>
      </c>
      <c r="N116" s="39">
        <f t="shared" si="20"/>
        <v>293.00749500000006</v>
      </c>
      <c r="O116" s="39">
        <f t="shared" si="21"/>
        <v>0</v>
      </c>
      <c r="P116" s="39">
        <f t="shared" si="22"/>
        <v>265.71758125000002</v>
      </c>
      <c r="Q116" s="39">
        <f t="shared" si="23"/>
        <v>0</v>
      </c>
    </row>
    <row r="117" spans="1:17" s="291" customFormat="1" ht="13.5" thickBot="1">
      <c r="A117" s="1006"/>
      <c r="B117" s="416"/>
      <c r="C117" s="199">
        <v>13700022</v>
      </c>
      <c r="D117" s="200" t="s">
        <v>1245</v>
      </c>
      <c r="E117" s="201">
        <v>18623.990000000002</v>
      </c>
      <c r="F117" s="38">
        <f t="shared" si="12"/>
        <v>10243.194500000001</v>
      </c>
      <c r="G117" s="41">
        <f t="shared" si="13"/>
        <v>0</v>
      </c>
      <c r="H117" s="39">
        <f t="shared" si="14"/>
        <v>321.32901146500006</v>
      </c>
      <c r="I117" s="40">
        <f t="shared" si="15"/>
        <v>0</v>
      </c>
      <c r="J117" s="39">
        <f t="shared" si="24"/>
        <v>280.66352930000005</v>
      </c>
      <c r="K117" s="40">
        <f t="shared" si="17"/>
        <v>0</v>
      </c>
      <c r="L117" s="39">
        <f t="shared" si="25"/>
        <v>233.54483460000003</v>
      </c>
      <c r="M117" s="39">
        <f t="shared" si="19"/>
        <v>0</v>
      </c>
      <c r="N117" s="39">
        <f t="shared" si="20"/>
        <v>208.96116780000006</v>
      </c>
      <c r="O117" s="39">
        <f t="shared" si="21"/>
        <v>0</v>
      </c>
      <c r="P117" s="39">
        <f t="shared" si="22"/>
        <v>189.49909825</v>
      </c>
      <c r="Q117" s="39">
        <f t="shared" si="23"/>
        <v>0</v>
      </c>
    </row>
    <row r="118" spans="1:17" s="291" customFormat="1" ht="26.25" thickBot="1">
      <c r="A118" s="1006"/>
      <c r="B118" s="416"/>
      <c r="C118" s="199" t="s">
        <v>1246</v>
      </c>
      <c r="D118" s="200" t="s">
        <v>1247</v>
      </c>
      <c r="E118" s="201">
        <v>1528.8</v>
      </c>
      <c r="F118" s="38">
        <f t="shared" si="12"/>
        <v>840.84</v>
      </c>
      <c r="G118" s="41">
        <f t="shared" si="13"/>
        <v>0</v>
      </c>
      <c r="H118" s="39">
        <f t="shared" si="14"/>
        <v>26.377150800000003</v>
      </c>
      <c r="I118" s="40">
        <f t="shared" si="15"/>
        <v>0</v>
      </c>
      <c r="J118" s="39">
        <f t="shared" si="24"/>
        <v>23.039016</v>
      </c>
      <c r="K118" s="40">
        <f t="shared" si="17"/>
        <v>0</v>
      </c>
      <c r="L118" s="39">
        <f t="shared" si="25"/>
        <v>19.171152000000003</v>
      </c>
      <c r="M118" s="39">
        <f t="shared" si="19"/>
        <v>0</v>
      </c>
      <c r="N118" s="39">
        <f t="shared" si="20"/>
        <v>17.153136000000003</v>
      </c>
      <c r="O118" s="39">
        <f t="shared" si="21"/>
        <v>0</v>
      </c>
      <c r="P118" s="39">
        <f t="shared" si="22"/>
        <v>15.555540000000001</v>
      </c>
      <c r="Q118" s="39">
        <f t="shared" si="23"/>
        <v>0</v>
      </c>
    </row>
    <row r="119" spans="1:17" s="519" customFormat="1" ht="26.25" thickBot="1">
      <c r="A119" s="1006"/>
      <c r="B119" s="416"/>
      <c r="C119" s="199" t="s">
        <v>1248</v>
      </c>
      <c r="D119" s="200" t="s">
        <v>3972</v>
      </c>
      <c r="E119" s="201">
        <v>3990.48</v>
      </c>
      <c r="F119" s="38">
        <f t="shared" si="12"/>
        <v>2194.7640000000001</v>
      </c>
      <c r="G119" s="41">
        <f t="shared" si="13"/>
        <v>0</v>
      </c>
      <c r="H119" s="39">
        <f t="shared" si="14"/>
        <v>68.84974668000001</v>
      </c>
      <c r="I119" s="40">
        <f t="shared" si="15"/>
        <v>0</v>
      </c>
      <c r="J119" s="39">
        <f t="shared" si="24"/>
        <v>60.136533600000007</v>
      </c>
      <c r="K119" s="40">
        <f t="shared" si="17"/>
        <v>0</v>
      </c>
      <c r="L119" s="39">
        <f t="shared" si="25"/>
        <v>50.040619200000002</v>
      </c>
      <c r="M119" s="39">
        <f t="shared" si="19"/>
        <v>0</v>
      </c>
      <c r="N119" s="39">
        <f t="shared" si="20"/>
        <v>44.773185600000005</v>
      </c>
      <c r="O119" s="39">
        <f t="shared" si="21"/>
        <v>0</v>
      </c>
      <c r="P119" s="39">
        <f t="shared" si="22"/>
        <v>40.603133999999997</v>
      </c>
      <c r="Q119" s="39">
        <f t="shared" si="23"/>
        <v>0</v>
      </c>
    </row>
    <row r="120" spans="1:17" s="291" customFormat="1" ht="13.5" thickBot="1">
      <c r="A120" s="1006"/>
      <c r="B120" s="416"/>
      <c r="C120" s="199" t="s">
        <v>1249</v>
      </c>
      <c r="D120" s="200" t="s">
        <v>1250</v>
      </c>
      <c r="E120" s="201">
        <v>4098</v>
      </c>
      <c r="F120" s="38">
        <f t="shared" si="12"/>
        <v>2253.9</v>
      </c>
      <c r="G120" s="41">
        <f t="shared" si="13"/>
        <v>0</v>
      </c>
      <c r="H120" s="39">
        <f t="shared" si="14"/>
        <v>70.704843000000011</v>
      </c>
      <c r="I120" s="40">
        <f t="shared" si="15"/>
        <v>0</v>
      </c>
      <c r="J120" s="39">
        <f>F120*0.02564</f>
        <v>57.789996000000002</v>
      </c>
      <c r="K120" s="40">
        <f t="shared" si="17"/>
        <v>0</v>
      </c>
      <c r="L120" s="39">
        <f t="shared" si="25"/>
        <v>51.388920000000006</v>
      </c>
      <c r="M120" s="39">
        <f t="shared" si="19"/>
        <v>0</v>
      </c>
      <c r="N120" s="39">
        <f t="shared" si="20"/>
        <v>45.979560000000006</v>
      </c>
      <c r="O120" s="39">
        <f t="shared" si="21"/>
        <v>0</v>
      </c>
      <c r="P120" s="39">
        <f t="shared" si="22"/>
        <v>41.697150000000001</v>
      </c>
      <c r="Q120" s="39">
        <f t="shared" si="23"/>
        <v>0</v>
      </c>
    </row>
    <row r="121" spans="1:17" s="291" customFormat="1" ht="13.5" thickBot="1">
      <c r="A121" s="1006"/>
      <c r="B121" s="416"/>
      <c r="C121" s="199" t="s">
        <v>1146</v>
      </c>
      <c r="D121" s="200" t="s">
        <v>1147</v>
      </c>
      <c r="E121" s="201">
        <v>10067.200000000001</v>
      </c>
      <c r="F121" s="38">
        <f t="shared" si="12"/>
        <v>5536.9600000000009</v>
      </c>
      <c r="G121" s="41">
        <f t="shared" si="13"/>
        <v>0</v>
      </c>
      <c r="H121" s="39">
        <f t="shared" si="14"/>
        <v>173.69443520000004</v>
      </c>
      <c r="I121" s="40">
        <f t="shared" si="15"/>
        <v>0</v>
      </c>
      <c r="J121" s="39">
        <f t="shared" ref="J121:J136" si="26">F121*0.0274</f>
        <v>151.71270400000003</v>
      </c>
      <c r="K121" s="40">
        <f t="shared" si="17"/>
        <v>0</v>
      </c>
      <c r="L121" s="39">
        <f t="shared" si="25"/>
        <v>126.24268800000003</v>
      </c>
      <c r="M121" s="39">
        <f t="shared" si="19"/>
        <v>0</v>
      </c>
      <c r="N121" s="39">
        <f t="shared" si="20"/>
        <v>112.95398400000003</v>
      </c>
      <c r="O121" s="39">
        <f t="shared" si="21"/>
        <v>0</v>
      </c>
      <c r="P121" s="39">
        <f t="shared" si="22"/>
        <v>102.43376000000001</v>
      </c>
      <c r="Q121" s="39">
        <f t="shared" si="23"/>
        <v>0</v>
      </c>
    </row>
    <row r="122" spans="1:17" s="291" customFormat="1" ht="13.5" thickBot="1">
      <c r="A122" s="1006"/>
      <c r="B122" s="416"/>
      <c r="C122" s="199" t="s">
        <v>1251</v>
      </c>
      <c r="D122" s="200" t="s">
        <v>1252</v>
      </c>
      <c r="E122" s="201">
        <v>5772</v>
      </c>
      <c r="F122" s="38">
        <f t="shared" si="12"/>
        <v>3174.6000000000004</v>
      </c>
      <c r="G122" s="41">
        <f t="shared" si="13"/>
        <v>0</v>
      </c>
      <c r="H122" s="39">
        <f t="shared" si="14"/>
        <v>99.587202000000019</v>
      </c>
      <c r="I122" s="40">
        <f t="shared" si="15"/>
        <v>0</v>
      </c>
      <c r="J122" s="39">
        <f t="shared" si="26"/>
        <v>86.984040000000007</v>
      </c>
      <c r="K122" s="40">
        <f t="shared" si="17"/>
        <v>0</v>
      </c>
      <c r="L122" s="39">
        <f t="shared" si="25"/>
        <v>72.380880000000005</v>
      </c>
      <c r="M122" s="39">
        <f t="shared" si="19"/>
        <v>0</v>
      </c>
      <c r="N122" s="39">
        <f t="shared" si="20"/>
        <v>64.761840000000007</v>
      </c>
      <c r="O122" s="39">
        <f t="shared" si="21"/>
        <v>0</v>
      </c>
      <c r="P122" s="39">
        <f t="shared" si="22"/>
        <v>58.730100000000007</v>
      </c>
      <c r="Q122" s="39">
        <f t="shared" si="23"/>
        <v>0</v>
      </c>
    </row>
    <row r="123" spans="1:17" s="291" customFormat="1" ht="13.5" thickBot="1">
      <c r="A123" s="1006"/>
      <c r="B123" s="416"/>
      <c r="C123" s="199" t="s">
        <v>1253</v>
      </c>
      <c r="D123" s="200" t="s">
        <v>1254</v>
      </c>
      <c r="E123" s="201">
        <v>31832.32</v>
      </c>
      <c r="F123" s="38">
        <f t="shared" si="12"/>
        <v>17507.776000000002</v>
      </c>
      <c r="G123" s="41">
        <f t="shared" si="13"/>
        <v>0</v>
      </c>
      <c r="H123" s="39">
        <f t="shared" si="14"/>
        <v>549.21893312000009</v>
      </c>
      <c r="I123" s="40">
        <f t="shared" si="15"/>
        <v>0</v>
      </c>
      <c r="J123" s="39">
        <f t="shared" si="26"/>
        <v>479.71306240000007</v>
      </c>
      <c r="K123" s="40">
        <f t="shared" si="17"/>
        <v>0</v>
      </c>
      <c r="L123" s="39">
        <f t="shared" si="25"/>
        <v>399.17729280000003</v>
      </c>
      <c r="M123" s="39">
        <f t="shared" si="19"/>
        <v>0</v>
      </c>
      <c r="N123" s="39">
        <f t="shared" si="20"/>
        <v>357.15863040000005</v>
      </c>
      <c r="O123" s="39">
        <f t="shared" si="21"/>
        <v>0</v>
      </c>
      <c r="P123" s="39">
        <f t="shared" si="22"/>
        <v>323.89385600000003</v>
      </c>
      <c r="Q123" s="39">
        <f t="shared" si="23"/>
        <v>0</v>
      </c>
    </row>
    <row r="124" spans="1:17" s="291" customFormat="1" ht="13.5" thickBot="1">
      <c r="A124" s="1006"/>
      <c r="B124" s="416"/>
      <c r="C124" s="199" t="s">
        <v>1136</v>
      </c>
      <c r="D124" s="200" t="s">
        <v>1137</v>
      </c>
      <c r="E124" s="201">
        <v>2263.04</v>
      </c>
      <c r="F124" s="38">
        <f t="shared" si="12"/>
        <v>1244.672</v>
      </c>
      <c r="G124" s="41">
        <f t="shared" si="13"/>
        <v>0</v>
      </c>
      <c r="H124" s="39">
        <f t="shared" si="14"/>
        <v>39.045360640000006</v>
      </c>
      <c r="I124" s="40">
        <f t="shared" si="15"/>
        <v>0</v>
      </c>
      <c r="J124" s="39">
        <f t="shared" si="26"/>
        <v>34.1040128</v>
      </c>
      <c r="K124" s="40">
        <f t="shared" si="17"/>
        <v>0</v>
      </c>
      <c r="L124" s="39">
        <f t="shared" si="25"/>
        <v>28.378521600000003</v>
      </c>
      <c r="M124" s="39">
        <f t="shared" si="19"/>
        <v>0</v>
      </c>
      <c r="N124" s="39">
        <f t="shared" si="20"/>
        <v>25.391308800000001</v>
      </c>
      <c r="O124" s="39">
        <f t="shared" si="21"/>
        <v>0</v>
      </c>
      <c r="P124" s="39">
        <f t="shared" si="22"/>
        <v>23.026432</v>
      </c>
      <c r="Q124" s="39">
        <f t="shared" si="23"/>
        <v>0</v>
      </c>
    </row>
    <row r="125" spans="1:17" s="291" customFormat="1" ht="13.5" thickBot="1">
      <c r="A125" s="1006"/>
      <c r="B125" s="416"/>
      <c r="C125" s="199" t="s">
        <v>1255</v>
      </c>
      <c r="D125" s="200" t="s">
        <v>1256</v>
      </c>
      <c r="E125" s="201">
        <v>18550.48</v>
      </c>
      <c r="F125" s="38">
        <f t="shared" si="12"/>
        <v>10202.764000000001</v>
      </c>
      <c r="G125" s="41">
        <f t="shared" si="13"/>
        <v>0</v>
      </c>
      <c r="H125" s="39">
        <f t="shared" si="14"/>
        <v>320.06070668000007</v>
      </c>
      <c r="I125" s="40">
        <f t="shared" si="15"/>
        <v>0</v>
      </c>
      <c r="J125" s="39">
        <f t="shared" si="26"/>
        <v>279.55573360000005</v>
      </c>
      <c r="K125" s="40">
        <f t="shared" si="17"/>
        <v>0</v>
      </c>
      <c r="L125" s="39">
        <f t="shared" si="25"/>
        <v>232.62301920000004</v>
      </c>
      <c r="M125" s="39">
        <f t="shared" si="19"/>
        <v>0</v>
      </c>
      <c r="N125" s="39">
        <f t="shared" si="20"/>
        <v>208.13638560000004</v>
      </c>
      <c r="O125" s="39">
        <f t="shared" si="21"/>
        <v>0</v>
      </c>
      <c r="P125" s="39">
        <f t="shared" si="22"/>
        <v>188.75113400000001</v>
      </c>
      <c r="Q125" s="39">
        <f t="shared" si="23"/>
        <v>0</v>
      </c>
    </row>
    <row r="126" spans="1:17" s="291" customFormat="1" ht="13.5" thickBot="1">
      <c r="A126" s="1006"/>
      <c r="B126" s="416"/>
      <c r="C126" s="199" t="s">
        <v>1257</v>
      </c>
      <c r="D126" s="200" t="s">
        <v>1258</v>
      </c>
      <c r="E126" s="201">
        <v>18524.48</v>
      </c>
      <c r="F126" s="38">
        <f t="shared" si="12"/>
        <v>10188.464</v>
      </c>
      <c r="G126" s="41">
        <f t="shared" si="13"/>
        <v>0</v>
      </c>
      <c r="H126" s="39">
        <f t="shared" si="14"/>
        <v>319.61211568000004</v>
      </c>
      <c r="I126" s="40">
        <f t="shared" si="15"/>
        <v>0</v>
      </c>
      <c r="J126" s="39">
        <f t="shared" si="26"/>
        <v>279.1639136</v>
      </c>
      <c r="K126" s="40">
        <f t="shared" si="17"/>
        <v>0</v>
      </c>
      <c r="L126" s="39">
        <f t="shared" si="25"/>
        <v>232.29697920000001</v>
      </c>
      <c r="M126" s="39">
        <f t="shared" si="19"/>
        <v>0</v>
      </c>
      <c r="N126" s="39">
        <f t="shared" si="20"/>
        <v>207.84466560000001</v>
      </c>
      <c r="O126" s="39">
        <f t="shared" si="21"/>
        <v>0</v>
      </c>
      <c r="P126" s="39">
        <f t="shared" si="22"/>
        <v>188.48658399999999</v>
      </c>
      <c r="Q126" s="39">
        <f t="shared" si="23"/>
        <v>0</v>
      </c>
    </row>
    <row r="127" spans="1:17" s="198" customFormat="1" ht="13.5" thickBot="1">
      <c r="A127" s="1006"/>
      <c r="B127" s="416"/>
      <c r="C127" s="199" t="s">
        <v>1259</v>
      </c>
      <c r="D127" s="426" t="s">
        <v>1260</v>
      </c>
      <c r="E127" s="201">
        <v>6604.8</v>
      </c>
      <c r="F127" s="38">
        <f t="shared" si="12"/>
        <v>3632.6400000000003</v>
      </c>
      <c r="G127" s="41">
        <f t="shared" si="13"/>
        <v>0</v>
      </c>
      <c r="H127" s="39">
        <f t="shared" si="14"/>
        <v>113.95591680000001</v>
      </c>
      <c r="I127" s="40">
        <f t="shared" si="15"/>
        <v>0</v>
      </c>
      <c r="J127" s="39">
        <f t="shared" si="26"/>
        <v>99.53433600000001</v>
      </c>
      <c r="K127" s="40">
        <f t="shared" si="17"/>
        <v>0</v>
      </c>
      <c r="L127" s="39">
        <f t="shared" si="25"/>
        <v>82.824192000000011</v>
      </c>
      <c r="M127" s="39">
        <f t="shared" si="19"/>
        <v>0</v>
      </c>
      <c r="N127" s="39">
        <f t="shared" si="20"/>
        <v>74.105856000000017</v>
      </c>
      <c r="O127" s="39">
        <f t="shared" si="21"/>
        <v>0</v>
      </c>
      <c r="P127" s="39">
        <f t="shared" si="22"/>
        <v>67.20384</v>
      </c>
      <c r="Q127" s="39">
        <f t="shared" si="23"/>
        <v>0</v>
      </c>
    </row>
    <row r="128" spans="1:17" s="198" customFormat="1" ht="13.5" thickBot="1">
      <c r="A128" s="1006"/>
      <c r="B128" s="416"/>
      <c r="C128" s="199" t="s">
        <v>1261</v>
      </c>
      <c r="D128" s="200" t="s">
        <v>1262</v>
      </c>
      <c r="E128" s="201">
        <v>18120.96</v>
      </c>
      <c r="F128" s="38">
        <f t="shared" si="12"/>
        <v>9966.5280000000002</v>
      </c>
      <c r="G128" s="41">
        <f t="shared" si="13"/>
        <v>0</v>
      </c>
      <c r="H128" s="39">
        <f t="shared" si="14"/>
        <v>312.64998336000002</v>
      </c>
      <c r="I128" s="40">
        <f t="shared" si="15"/>
        <v>0</v>
      </c>
      <c r="J128" s="39">
        <f t="shared" si="26"/>
        <v>273.08286720000001</v>
      </c>
      <c r="K128" s="40">
        <f t="shared" si="17"/>
        <v>0</v>
      </c>
      <c r="L128" s="39">
        <f t="shared" si="25"/>
        <v>227.23683840000001</v>
      </c>
      <c r="M128" s="39">
        <f t="shared" si="19"/>
        <v>0</v>
      </c>
      <c r="N128" s="39">
        <f t="shared" si="20"/>
        <v>203.31717120000002</v>
      </c>
      <c r="O128" s="39">
        <f t="shared" si="21"/>
        <v>0</v>
      </c>
      <c r="P128" s="39">
        <f t="shared" si="22"/>
        <v>184.38076799999999</v>
      </c>
      <c r="Q128" s="39">
        <f t="shared" si="23"/>
        <v>0</v>
      </c>
    </row>
    <row r="129" spans="1:17" s="198" customFormat="1" ht="13.5" thickBot="1">
      <c r="A129" s="1006"/>
      <c r="B129" s="416"/>
      <c r="C129" s="202" t="s">
        <v>3973</v>
      </c>
      <c r="D129" s="200" t="s">
        <v>3974</v>
      </c>
      <c r="E129" s="201">
        <v>5657.6</v>
      </c>
      <c r="F129" s="38">
        <f t="shared" si="12"/>
        <v>3111.6800000000003</v>
      </c>
      <c r="G129" s="41">
        <f t="shared" si="13"/>
        <v>0</v>
      </c>
      <c r="H129" s="39">
        <f t="shared" si="14"/>
        <v>97.613401600000017</v>
      </c>
      <c r="I129" s="40">
        <f t="shared" si="15"/>
        <v>0</v>
      </c>
      <c r="J129" s="39">
        <f t="shared" si="26"/>
        <v>85.26003200000001</v>
      </c>
      <c r="K129" s="40">
        <f t="shared" si="17"/>
        <v>0</v>
      </c>
      <c r="L129" s="39">
        <f t="shared" si="25"/>
        <v>70.946304000000012</v>
      </c>
      <c r="M129" s="39">
        <f t="shared" si="19"/>
        <v>0</v>
      </c>
      <c r="N129" s="39">
        <f t="shared" si="20"/>
        <v>63.478272000000011</v>
      </c>
      <c r="O129" s="39">
        <f t="shared" si="21"/>
        <v>0</v>
      </c>
      <c r="P129" s="39">
        <f t="shared" si="22"/>
        <v>57.566079999999999</v>
      </c>
      <c r="Q129" s="39">
        <f t="shared" si="23"/>
        <v>0</v>
      </c>
    </row>
    <row r="130" spans="1:17" s="291" customFormat="1" ht="13.5" thickBot="1">
      <c r="A130" s="1006"/>
      <c r="B130" s="416"/>
      <c r="C130" s="199" t="s">
        <v>3975</v>
      </c>
      <c r="D130" s="200" t="s">
        <v>3976</v>
      </c>
      <c r="E130" s="201">
        <v>37574.53</v>
      </c>
      <c r="F130" s="38">
        <f t="shared" si="12"/>
        <v>20665.9915</v>
      </c>
      <c r="G130" s="41">
        <f t="shared" si="13"/>
        <v>0</v>
      </c>
      <c r="H130" s="39">
        <f t="shared" si="14"/>
        <v>648.2921533550001</v>
      </c>
      <c r="I130" s="40">
        <f t="shared" si="15"/>
        <v>0</v>
      </c>
      <c r="J130" s="39">
        <f t="shared" si="26"/>
        <v>566.24816710000005</v>
      </c>
      <c r="K130" s="40">
        <f t="shared" si="17"/>
        <v>0</v>
      </c>
      <c r="L130" s="39">
        <f t="shared" si="25"/>
        <v>471.18460620000002</v>
      </c>
      <c r="M130" s="39">
        <f t="shared" si="19"/>
        <v>0</v>
      </c>
      <c r="N130" s="39">
        <f t="shared" si="20"/>
        <v>421.58622660000003</v>
      </c>
      <c r="O130" s="39">
        <f t="shared" si="21"/>
        <v>0</v>
      </c>
      <c r="P130" s="39">
        <f t="shared" si="22"/>
        <v>382.32084275</v>
      </c>
      <c r="Q130" s="39">
        <f t="shared" si="23"/>
        <v>0</v>
      </c>
    </row>
    <row r="131" spans="1:17" s="291" customFormat="1" ht="13.5" thickBot="1">
      <c r="A131" s="1006"/>
      <c r="B131" s="416"/>
      <c r="C131" s="199" t="s">
        <v>1263</v>
      </c>
      <c r="D131" s="200" t="s">
        <v>1264</v>
      </c>
      <c r="E131" s="201">
        <v>586.55999999999995</v>
      </c>
      <c r="F131" s="38">
        <f t="shared" si="12"/>
        <v>322.608</v>
      </c>
      <c r="G131" s="41">
        <f t="shared" si="13"/>
        <v>0</v>
      </c>
      <c r="H131" s="39">
        <f t="shared" si="14"/>
        <v>10.12021296</v>
      </c>
      <c r="I131" s="40">
        <f t="shared" si="15"/>
        <v>0</v>
      </c>
      <c r="J131" s="39">
        <f t="shared" si="26"/>
        <v>8.8394592000000003</v>
      </c>
      <c r="K131" s="40">
        <f t="shared" si="17"/>
        <v>0</v>
      </c>
      <c r="L131" s="39">
        <f t="shared" si="25"/>
        <v>7.3554624000000004</v>
      </c>
      <c r="M131" s="39">
        <f t="shared" si="19"/>
        <v>0</v>
      </c>
      <c r="N131" s="39">
        <f t="shared" si="20"/>
        <v>6.5812032000000009</v>
      </c>
      <c r="O131" s="39">
        <f t="shared" si="21"/>
        <v>0</v>
      </c>
      <c r="P131" s="39">
        <f t="shared" si="22"/>
        <v>5.968248</v>
      </c>
      <c r="Q131" s="39">
        <f t="shared" si="23"/>
        <v>0</v>
      </c>
    </row>
    <row r="132" spans="1:17" s="291" customFormat="1" ht="13.5" thickBot="1">
      <c r="A132" s="1006"/>
      <c r="B132" s="416"/>
      <c r="C132" s="199" t="s">
        <v>1265</v>
      </c>
      <c r="D132" s="200" t="s">
        <v>1280</v>
      </c>
      <c r="E132" s="201">
        <v>9375.6</v>
      </c>
      <c r="F132" s="38">
        <f t="shared" si="12"/>
        <v>5156.5800000000008</v>
      </c>
      <c r="G132" s="41">
        <f t="shared" si="13"/>
        <v>0</v>
      </c>
      <c r="H132" s="39">
        <f t="shared" si="14"/>
        <v>161.76191460000004</v>
      </c>
      <c r="I132" s="40">
        <f t="shared" si="15"/>
        <v>0</v>
      </c>
      <c r="J132" s="39">
        <f t="shared" si="26"/>
        <v>141.29029200000002</v>
      </c>
      <c r="K132" s="40">
        <f t="shared" si="17"/>
        <v>0</v>
      </c>
      <c r="L132" s="39">
        <f t="shared" si="25"/>
        <v>117.57002400000002</v>
      </c>
      <c r="M132" s="39">
        <f t="shared" si="19"/>
        <v>0</v>
      </c>
      <c r="N132" s="39">
        <f t="shared" si="20"/>
        <v>105.19423200000003</v>
      </c>
      <c r="O132" s="39">
        <f t="shared" si="21"/>
        <v>0</v>
      </c>
      <c r="P132" s="39">
        <f t="shared" si="22"/>
        <v>95.396730000000005</v>
      </c>
      <c r="Q132" s="39">
        <f t="shared" si="23"/>
        <v>0</v>
      </c>
    </row>
    <row r="133" spans="1:17" s="291" customFormat="1" ht="15" thickBot="1">
      <c r="A133" s="1006"/>
      <c r="B133" s="416"/>
      <c r="C133" s="713" t="s">
        <v>1266</v>
      </c>
      <c r="D133" s="298" t="s">
        <v>1267</v>
      </c>
      <c r="E133" s="491">
        <v>4461.6000000000004</v>
      </c>
      <c r="F133" s="41">
        <f t="shared" si="12"/>
        <v>2453.8800000000006</v>
      </c>
      <c r="G133" s="41">
        <f t="shared" si="13"/>
        <v>0</v>
      </c>
      <c r="H133" s="39">
        <f t="shared" si="14"/>
        <v>76.978215600000027</v>
      </c>
      <c r="I133" s="40">
        <f t="shared" si="15"/>
        <v>0</v>
      </c>
      <c r="J133" s="39">
        <f t="shared" si="26"/>
        <v>67.236312000000012</v>
      </c>
      <c r="K133" s="40">
        <f t="shared" si="17"/>
        <v>0</v>
      </c>
      <c r="L133" s="39">
        <f t="shared" si="25"/>
        <v>55.948464000000016</v>
      </c>
      <c r="M133" s="39">
        <f t="shared" si="19"/>
        <v>0</v>
      </c>
      <c r="N133" s="39">
        <f t="shared" si="20"/>
        <v>50.059152000000012</v>
      </c>
      <c r="O133" s="39">
        <f t="shared" si="21"/>
        <v>0</v>
      </c>
      <c r="P133" s="39">
        <f t="shared" si="22"/>
        <v>45.396780000000007</v>
      </c>
      <c r="Q133" s="39">
        <f t="shared" si="23"/>
        <v>0</v>
      </c>
    </row>
    <row r="134" spans="1:17" s="291" customFormat="1" ht="13.5" thickBot="1">
      <c r="A134" s="1006"/>
      <c r="B134" s="416"/>
      <c r="C134" s="199" t="s">
        <v>1268</v>
      </c>
      <c r="D134" s="200" t="s">
        <v>1269</v>
      </c>
      <c r="E134" s="201">
        <v>20809.36</v>
      </c>
      <c r="F134" s="38">
        <f t="shared" si="12"/>
        <v>11445.148000000001</v>
      </c>
      <c r="G134" s="41">
        <f t="shared" si="13"/>
        <v>0</v>
      </c>
      <c r="H134" s="39">
        <f t="shared" si="14"/>
        <v>359.03429276000003</v>
      </c>
      <c r="I134" s="40">
        <f t="shared" si="15"/>
        <v>0</v>
      </c>
      <c r="J134" s="39">
        <f t="shared" si="26"/>
        <v>313.59705520000006</v>
      </c>
      <c r="K134" s="40">
        <f t="shared" si="17"/>
        <v>0</v>
      </c>
      <c r="L134" s="39">
        <f t="shared" si="25"/>
        <v>260.94937440000001</v>
      </c>
      <c r="M134" s="39">
        <f t="shared" si="19"/>
        <v>0</v>
      </c>
      <c r="N134" s="39">
        <f t="shared" si="20"/>
        <v>233.48101920000005</v>
      </c>
      <c r="O134" s="39">
        <f t="shared" si="21"/>
        <v>0</v>
      </c>
      <c r="P134" s="39">
        <f t="shared" si="22"/>
        <v>211.73523800000001</v>
      </c>
      <c r="Q134" s="39">
        <f t="shared" si="23"/>
        <v>0</v>
      </c>
    </row>
    <row r="135" spans="1:17" s="519" customFormat="1" ht="13.5" thickBot="1">
      <c r="A135" s="1006"/>
      <c r="B135" s="416"/>
      <c r="C135" s="199" t="s">
        <v>1270</v>
      </c>
      <c r="D135" s="200" t="s">
        <v>3977</v>
      </c>
      <c r="E135" s="201">
        <v>1372.8</v>
      </c>
      <c r="F135" s="38">
        <f t="shared" si="12"/>
        <v>755.04000000000008</v>
      </c>
      <c r="G135" s="41">
        <f t="shared" si="13"/>
        <v>0</v>
      </c>
      <c r="H135" s="39">
        <f t="shared" si="14"/>
        <v>23.685604800000004</v>
      </c>
      <c r="I135" s="40">
        <f t="shared" si="15"/>
        <v>0</v>
      </c>
      <c r="J135" s="39">
        <f t="shared" si="26"/>
        <v>20.688096000000002</v>
      </c>
      <c r="K135" s="40">
        <f t="shared" si="17"/>
        <v>0</v>
      </c>
      <c r="L135" s="39">
        <f t="shared" si="25"/>
        <v>17.214912000000002</v>
      </c>
      <c r="M135" s="39">
        <f t="shared" si="19"/>
        <v>0</v>
      </c>
      <c r="N135" s="39">
        <f t="shared" si="20"/>
        <v>15.402816000000003</v>
      </c>
      <c r="O135" s="39">
        <f t="shared" si="21"/>
        <v>0</v>
      </c>
      <c r="P135" s="39">
        <f t="shared" si="22"/>
        <v>13.968240000000002</v>
      </c>
      <c r="Q135" s="39">
        <f t="shared" si="23"/>
        <v>0</v>
      </c>
    </row>
    <row r="136" spans="1:17" s="291" customFormat="1" ht="13.5" thickBot="1">
      <c r="A136" s="1007"/>
      <c r="B136" s="714"/>
      <c r="C136" s="199" t="s">
        <v>1271</v>
      </c>
      <c r="D136" s="200" t="s">
        <v>3978</v>
      </c>
      <c r="E136" s="201">
        <v>1081.5999999999999</v>
      </c>
      <c r="F136" s="38">
        <f t="shared" si="12"/>
        <v>594.88</v>
      </c>
      <c r="G136" s="41">
        <f t="shared" si="13"/>
        <v>0</v>
      </c>
      <c r="H136" s="39">
        <f t="shared" si="14"/>
        <v>18.661385600000003</v>
      </c>
      <c r="I136" s="40">
        <f t="shared" si="15"/>
        <v>0</v>
      </c>
      <c r="J136" s="39">
        <f t="shared" si="26"/>
        <v>16.299712</v>
      </c>
      <c r="K136" s="40">
        <f t="shared" si="17"/>
        <v>0</v>
      </c>
      <c r="L136" s="39">
        <f t="shared" si="25"/>
        <v>13.563264</v>
      </c>
      <c r="M136" s="39">
        <f t="shared" si="19"/>
        <v>0</v>
      </c>
      <c r="N136" s="39">
        <f t="shared" si="20"/>
        <v>12.135552000000001</v>
      </c>
      <c r="O136" s="39">
        <f t="shared" si="21"/>
        <v>0</v>
      </c>
      <c r="P136" s="39">
        <f t="shared" si="22"/>
        <v>11.005279999999999</v>
      </c>
      <c r="Q136" s="39">
        <f t="shared" si="23"/>
        <v>0</v>
      </c>
    </row>
    <row r="137" spans="1:17" s="291" customFormat="1" ht="15">
      <c r="A137" s="519"/>
      <c r="B137" s="258"/>
      <c r="C137" s="258"/>
      <c r="D137" s="1183" t="s">
        <v>65</v>
      </c>
      <c r="E137" s="1009"/>
      <c r="F137" s="1009"/>
      <c r="G137" s="520">
        <f>SUM(G33:G136)+G30</f>
        <v>0</v>
      </c>
      <c r="H137" s="329" t="s">
        <v>67</v>
      </c>
      <c r="I137" s="520">
        <f>SUM(I33:I136)+I30</f>
        <v>0</v>
      </c>
      <c r="J137" s="329" t="s">
        <v>68</v>
      </c>
      <c r="K137" s="520">
        <f>SUM(K33:K136)+K30</f>
        <v>0</v>
      </c>
      <c r="L137" s="329" t="s">
        <v>69</v>
      </c>
      <c r="M137" s="520">
        <f>SUM(M33:M136)+M30</f>
        <v>0</v>
      </c>
      <c r="N137" s="329" t="s">
        <v>860</v>
      </c>
      <c r="O137" s="520">
        <f>SUM(O33:O136)+O30</f>
        <v>0</v>
      </c>
      <c r="P137" s="329" t="s">
        <v>861</v>
      </c>
      <c r="Q137" s="520">
        <f>SUM(Q33:Q136)+Q30</f>
        <v>0</v>
      </c>
    </row>
    <row r="138" spans="1:17" s="291" customFormat="1">
      <c r="A138" s="315"/>
      <c r="B138" s="256"/>
      <c r="C138" s="256"/>
      <c r="D138" s="315"/>
      <c r="E138" s="315"/>
      <c r="F138" s="456"/>
      <c r="G138" s="456"/>
      <c r="H138" s="315"/>
      <c r="I138" s="315"/>
      <c r="J138" s="315"/>
      <c r="K138" s="315"/>
      <c r="L138" s="315"/>
      <c r="M138" s="315"/>
      <c r="N138" s="315"/>
      <c r="O138" s="315"/>
      <c r="P138" s="315"/>
      <c r="Q138" s="315"/>
    </row>
    <row r="139" spans="1:17" s="291" customFormat="1" ht="15.75">
      <c r="A139" s="256"/>
      <c r="B139" s="521"/>
      <c r="C139" s="521"/>
      <c r="D139" s="522"/>
      <c r="E139" s="522"/>
      <c r="F139" s="523"/>
      <c r="G139" s="333"/>
      <c r="H139" s="256"/>
      <c r="I139" s="256"/>
      <c r="J139" s="256"/>
      <c r="K139" s="256"/>
      <c r="L139" s="256"/>
      <c r="M139" s="256"/>
      <c r="N139" s="256"/>
      <c r="O139" s="256"/>
      <c r="P139" s="256"/>
      <c r="Q139" s="256"/>
    </row>
    <row r="140" spans="1:17" s="519" customFormat="1">
      <c r="A140" s="256"/>
      <c r="B140" s="256"/>
      <c r="C140" s="256"/>
      <c r="D140" s="256"/>
      <c r="E140" s="256"/>
      <c r="F140" s="523"/>
      <c r="G140" s="333"/>
      <c r="H140" s="256"/>
      <c r="I140" s="256"/>
      <c r="J140" s="256"/>
      <c r="K140" s="256"/>
      <c r="L140" s="256"/>
      <c r="M140" s="256"/>
      <c r="N140" s="256"/>
      <c r="O140" s="256"/>
      <c r="P140" s="256"/>
      <c r="Q140" s="256"/>
    </row>
    <row r="141" spans="1:17" s="519" customFormat="1">
      <c r="A141" s="256"/>
      <c r="B141" s="256"/>
      <c r="C141" s="256"/>
      <c r="D141" s="256"/>
      <c r="E141" s="256"/>
      <c r="F141" s="333"/>
      <c r="G141" s="333"/>
      <c r="H141" s="256"/>
      <c r="I141" s="256"/>
      <c r="J141" s="256"/>
      <c r="K141" s="256"/>
      <c r="L141" s="256"/>
      <c r="M141" s="256"/>
      <c r="N141" s="256"/>
      <c r="O141" s="256"/>
      <c r="P141" s="256"/>
      <c r="Q141" s="256"/>
    </row>
    <row r="142" spans="1:17" s="524" customFormat="1" hidden="1">
      <c r="A142" s="256"/>
      <c r="B142" s="256"/>
      <c r="C142" s="256"/>
      <c r="D142" s="256"/>
      <c r="E142" s="256"/>
      <c r="F142" s="333"/>
      <c r="G142" s="333"/>
      <c r="H142" s="256"/>
      <c r="I142" s="256"/>
      <c r="J142" s="256"/>
      <c r="K142" s="256"/>
      <c r="L142" s="256"/>
      <c r="M142" s="256"/>
      <c r="N142" s="256"/>
      <c r="O142" s="256"/>
      <c r="P142" s="256"/>
      <c r="Q142" s="256"/>
    </row>
    <row r="143" spans="1:17" s="519" customFormat="1">
      <c r="A143" s="256"/>
      <c r="B143" s="256"/>
      <c r="C143" s="256"/>
      <c r="D143" s="256"/>
      <c r="E143" s="256"/>
      <c r="F143" s="333"/>
      <c r="G143" s="333"/>
      <c r="H143" s="256"/>
      <c r="I143" s="256"/>
      <c r="J143" s="256"/>
      <c r="K143" s="256"/>
      <c r="L143" s="256"/>
      <c r="M143" s="256"/>
      <c r="N143" s="256"/>
      <c r="O143" s="256"/>
      <c r="P143" s="256"/>
      <c r="Q143" s="256"/>
    </row>
    <row r="144" spans="1:17" s="315" customFormat="1">
      <c r="A144" s="256"/>
      <c r="B144" s="256"/>
      <c r="C144" s="256"/>
      <c r="D144" s="256"/>
      <c r="E144" s="256"/>
      <c r="F144" s="333"/>
      <c r="G144" s="333"/>
      <c r="H144" s="256"/>
      <c r="I144" s="256"/>
      <c r="J144" s="256"/>
      <c r="K144" s="256"/>
      <c r="L144" s="256"/>
      <c r="M144" s="256"/>
      <c r="N144" s="256"/>
      <c r="O144" s="256"/>
      <c r="P144" s="256"/>
      <c r="Q144" s="256"/>
    </row>
    <row r="157" spans="2:3">
      <c r="B157" s="258"/>
      <c r="C157" s="258"/>
    </row>
  </sheetData>
  <mergeCells count="19">
    <mergeCell ref="A26:Q26"/>
    <mergeCell ref="A4:O4"/>
    <mergeCell ref="A5:O5"/>
    <mergeCell ref="H8:J8"/>
    <mergeCell ref="D20:D21"/>
    <mergeCell ref="A25:Q25"/>
    <mergeCell ref="A32:Q32"/>
    <mergeCell ref="A79:A136"/>
    <mergeCell ref="D137:F137"/>
    <mergeCell ref="F28:G28"/>
    <mergeCell ref="H28:Q28"/>
    <mergeCell ref="A30:A31"/>
    <mergeCell ref="B30:B31"/>
    <mergeCell ref="G30:G31"/>
    <mergeCell ref="I30:I31"/>
    <mergeCell ref="K30:K31"/>
    <mergeCell ref="M30:M31"/>
    <mergeCell ref="O30:O31"/>
    <mergeCell ref="Q30:Q31"/>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2D10-F6D9-4BEE-8B26-7F9226082F5B}">
  <sheetPr>
    <tabColor indexed="62"/>
  </sheetPr>
  <dimension ref="A1:U157"/>
  <sheetViews>
    <sheetView topLeftCell="A21" zoomScale="86" zoomScaleNormal="86" workbookViewId="0">
      <selection activeCell="E30" sqref="E30"/>
    </sheetView>
  </sheetViews>
  <sheetFormatPr defaultColWidth="8.85546875" defaultRowHeight="12.75"/>
  <cols>
    <col min="1" max="1" width="15" style="256" customWidth="1"/>
    <col min="2" max="2" width="10" style="256" customWidth="1"/>
    <col min="3" max="3" width="14" style="256" customWidth="1"/>
    <col min="4" max="4" width="44.42578125" style="256" customWidth="1"/>
    <col min="5" max="5" width="17.42578125" style="256" customWidth="1"/>
    <col min="6" max="6" width="15.5703125" style="333" customWidth="1"/>
    <col min="7" max="7" width="23.42578125" style="333" customWidth="1"/>
    <col min="8" max="8" width="28.28515625" style="256" bestFit="1" customWidth="1"/>
    <col min="9" max="9" width="19" style="256" customWidth="1"/>
    <col min="10" max="10" width="25" style="256" bestFit="1" customWidth="1"/>
    <col min="11" max="11" width="19" style="256" customWidth="1"/>
    <col min="12" max="12" width="25" style="256" bestFit="1" customWidth="1"/>
    <col min="13" max="13" width="18.42578125" style="256" customWidth="1"/>
    <col min="14" max="14" width="25" style="256" bestFit="1" customWidth="1"/>
    <col min="15" max="15" width="19.28515625" style="256" customWidth="1"/>
    <col min="16" max="16" width="25" style="256" bestFit="1" customWidth="1"/>
    <col min="17" max="17" width="19.28515625" style="256" customWidth="1"/>
    <col min="18" max="16384" width="8.85546875" style="256"/>
  </cols>
  <sheetData>
    <row r="1" spans="1:18" ht="13.5" thickBot="1">
      <c r="B1" s="257"/>
      <c r="C1" s="257"/>
      <c r="D1" s="258"/>
      <c r="E1" s="258"/>
      <c r="F1" s="259"/>
      <c r="G1" s="259"/>
      <c r="H1" s="259"/>
      <c r="I1" s="259"/>
      <c r="J1" s="259"/>
      <c r="K1" s="258"/>
      <c r="L1" s="259"/>
    </row>
    <row r="2" spans="1:18" ht="9" customHeight="1">
      <c r="A2" s="260"/>
      <c r="B2" s="261"/>
      <c r="C2" s="261"/>
      <c r="D2" s="262"/>
      <c r="E2" s="262"/>
      <c r="F2" s="263"/>
      <c r="G2" s="263"/>
      <c r="H2" s="263"/>
      <c r="I2" s="264"/>
      <c r="J2" s="264"/>
      <c r="K2" s="264"/>
      <c r="L2" s="264"/>
      <c r="M2" s="260"/>
      <c r="N2" s="260"/>
      <c r="O2" s="260"/>
      <c r="P2" s="260"/>
      <c r="Q2" s="260"/>
    </row>
    <row r="3" spans="1:18" ht="10.5" customHeight="1">
      <c r="B3" s="257"/>
      <c r="C3" s="257"/>
      <c r="D3" s="258"/>
      <c r="E3" s="258"/>
      <c r="F3" s="259"/>
      <c r="G3" s="259"/>
      <c r="H3" s="259"/>
      <c r="I3" s="265"/>
      <c r="J3" s="265"/>
      <c r="K3" s="265"/>
      <c r="L3" s="265"/>
    </row>
    <row r="4" spans="1:18" ht="36" customHeight="1">
      <c r="A4" s="1112" t="s">
        <v>1272</v>
      </c>
      <c r="B4" s="1020"/>
      <c r="C4" s="1020"/>
      <c r="D4" s="1020"/>
      <c r="E4" s="1020"/>
      <c r="F4" s="1020"/>
      <c r="G4" s="1020"/>
      <c r="H4" s="1020"/>
      <c r="I4" s="1020"/>
      <c r="J4" s="1020"/>
      <c r="K4" s="1020"/>
      <c r="L4" s="1020"/>
      <c r="M4" s="1020"/>
      <c r="N4" s="1020"/>
      <c r="O4" s="1020"/>
    </row>
    <row r="5" spans="1:18" s="266" customFormat="1" ht="41.25" customHeight="1">
      <c r="A5" s="1188" t="s">
        <v>1273</v>
      </c>
      <c r="B5" s="1045"/>
      <c r="C5" s="1045"/>
      <c r="D5" s="1045"/>
      <c r="E5" s="1045"/>
      <c r="F5" s="1045"/>
      <c r="G5" s="1045"/>
      <c r="H5" s="1045"/>
      <c r="I5" s="1045"/>
      <c r="J5" s="1045"/>
      <c r="K5" s="1045"/>
      <c r="L5" s="1045"/>
      <c r="M5" s="1045"/>
      <c r="N5" s="1045"/>
      <c r="O5" s="1045"/>
    </row>
    <row r="6" spans="1:18" ht="9" customHeight="1" thickBot="1">
      <c r="A6" s="267"/>
      <c r="B6" s="267"/>
      <c r="C6" s="267"/>
      <c r="D6" s="267"/>
      <c r="E6" s="267"/>
      <c r="F6" s="267"/>
      <c r="G6" s="267"/>
      <c r="H6" s="267"/>
      <c r="I6" s="267"/>
      <c r="J6" s="267"/>
      <c r="K6" s="267"/>
      <c r="L6" s="506"/>
      <c r="M6" s="267"/>
      <c r="N6" s="267"/>
      <c r="O6" s="267"/>
      <c r="P6" s="267"/>
      <c r="Q6" s="267"/>
    </row>
    <row r="7" spans="1:18" s="265" customFormat="1" ht="14.25">
      <c r="B7" s="268"/>
      <c r="C7" s="268"/>
      <c r="D7" s="269"/>
      <c r="E7" s="269"/>
      <c r="F7" s="269"/>
      <c r="G7" s="269"/>
      <c r="H7" s="269"/>
      <c r="I7" s="269"/>
      <c r="J7" s="269"/>
      <c r="K7" s="269"/>
      <c r="L7" s="269"/>
      <c r="M7" s="269"/>
      <c r="N7" s="269"/>
      <c r="O7" s="269"/>
      <c r="P7" s="269"/>
      <c r="Q7" s="269"/>
      <c r="R7" s="269"/>
    </row>
    <row r="8" spans="1:18" s="265" customFormat="1" ht="14.25">
      <c r="F8" s="446"/>
      <c r="G8" s="446"/>
      <c r="H8" s="1179" t="s">
        <v>0</v>
      </c>
      <c r="I8" s="1179"/>
      <c r="J8" s="1179"/>
      <c r="K8" s="507"/>
    </row>
    <row r="9" spans="1:18" s="265" customFormat="1" ht="14.25">
      <c r="H9" s="161" t="s">
        <v>1</v>
      </c>
      <c r="I9" s="185" t="s">
        <v>1046</v>
      </c>
      <c r="J9" s="185"/>
      <c r="L9" s="282"/>
    </row>
    <row r="10" spans="1:18" s="265" customFormat="1">
      <c r="F10" s="446"/>
      <c r="G10" s="446"/>
      <c r="H10" s="181" t="s">
        <v>8</v>
      </c>
      <c r="I10" s="185" t="s">
        <v>1274</v>
      </c>
      <c r="J10" s="185"/>
      <c r="L10" s="282"/>
    </row>
    <row r="11" spans="1:18" s="265" customFormat="1">
      <c r="F11" s="446"/>
      <c r="G11" s="446"/>
      <c r="H11" s="181" t="s">
        <v>10</v>
      </c>
      <c r="I11" s="185" t="s">
        <v>11</v>
      </c>
      <c r="J11" s="185"/>
      <c r="L11" s="282"/>
    </row>
    <row r="12" spans="1:18" s="265" customFormat="1">
      <c r="B12" s="508"/>
      <c r="C12" s="508"/>
      <c r="F12" s="446"/>
      <c r="G12" s="446"/>
      <c r="H12" s="181" t="s">
        <v>183</v>
      </c>
      <c r="I12" s="185" t="s">
        <v>1181</v>
      </c>
      <c r="J12" s="185"/>
      <c r="L12" s="282"/>
    </row>
    <row r="13" spans="1:18" s="265" customFormat="1">
      <c r="F13" s="302"/>
      <c r="G13" s="302"/>
      <c r="H13" s="181" t="s">
        <v>185</v>
      </c>
      <c r="I13" s="185" t="s">
        <v>1275</v>
      </c>
      <c r="J13" s="185"/>
      <c r="L13" s="282"/>
    </row>
    <row r="14" spans="1:18" s="265" customFormat="1">
      <c r="F14" s="446"/>
      <c r="G14" s="446"/>
      <c r="H14" s="181" t="s">
        <v>14</v>
      </c>
      <c r="I14" s="185" t="s">
        <v>1055</v>
      </c>
      <c r="J14" s="185"/>
      <c r="L14" s="282"/>
    </row>
    <row r="15" spans="1:18" s="265" customFormat="1">
      <c r="F15" s="446"/>
      <c r="G15" s="446"/>
      <c r="H15" s="157"/>
      <c r="I15" s="157" t="s">
        <v>1183</v>
      </c>
      <c r="J15" s="157"/>
      <c r="L15" s="282"/>
    </row>
    <row r="16" spans="1:18" s="265" customFormat="1">
      <c r="H16" s="157"/>
      <c r="I16" s="157" t="s">
        <v>1057</v>
      </c>
      <c r="J16" s="157"/>
    </row>
    <row r="17" spans="1:21" s="265" customFormat="1">
      <c r="H17" s="181" t="s">
        <v>16</v>
      </c>
      <c r="I17" s="157" t="s">
        <v>1184</v>
      </c>
      <c r="J17" s="157"/>
    </row>
    <row r="18" spans="1:21" s="265" customFormat="1">
      <c r="H18" s="181" t="s">
        <v>18</v>
      </c>
      <c r="I18" s="157" t="s">
        <v>1059</v>
      </c>
      <c r="J18" s="157"/>
    </row>
    <row r="19" spans="1:21" s="265" customFormat="1">
      <c r="H19" s="181" t="s">
        <v>20</v>
      </c>
      <c r="I19" s="157" t="s">
        <v>1185</v>
      </c>
      <c r="J19" s="157"/>
    </row>
    <row r="20" spans="1:21" s="265" customFormat="1" ht="14.25">
      <c r="D20" s="1047"/>
      <c r="E20" s="277"/>
      <c r="H20" s="181" t="s">
        <v>22</v>
      </c>
      <c r="I20" s="157" t="s">
        <v>1186</v>
      </c>
      <c r="J20" s="157"/>
    </row>
    <row r="21" spans="1:21" s="265" customFormat="1" ht="14.25">
      <c r="D21" s="1047"/>
      <c r="E21" s="277"/>
      <c r="H21" s="181" t="s">
        <v>24</v>
      </c>
      <c r="I21" s="157" t="s">
        <v>1187</v>
      </c>
      <c r="J21" s="157"/>
    </row>
    <row r="22" spans="1:21" s="265" customFormat="1">
      <c r="F22" s="446"/>
      <c r="G22" s="446"/>
      <c r="H22" s="181" t="s">
        <v>26</v>
      </c>
      <c r="I22" s="185" t="s">
        <v>1188</v>
      </c>
      <c r="J22" s="185"/>
    </row>
    <row r="23" spans="1:21" s="265" customFormat="1">
      <c r="F23" s="446"/>
      <c r="G23" s="446"/>
      <c r="H23" s="181" t="s">
        <v>28</v>
      </c>
      <c r="I23" s="185" t="s">
        <v>1189</v>
      </c>
      <c r="J23" s="185"/>
      <c r="L23" s="282"/>
    </row>
    <row r="24" spans="1:21" s="265" customFormat="1" ht="12" customHeight="1">
      <c r="F24" s="446"/>
      <c r="G24" s="446"/>
      <c r="H24" s="270"/>
      <c r="I24" s="282"/>
      <c r="J24" s="282"/>
      <c r="L24" s="282"/>
    </row>
    <row r="25" spans="1:21" s="265" customFormat="1" ht="15" thickBot="1">
      <c r="A25" s="1298" t="s">
        <v>30</v>
      </c>
      <c r="B25" s="1298"/>
      <c r="C25" s="1298"/>
      <c r="D25" s="1298"/>
      <c r="E25" s="1298"/>
      <c r="F25" s="1298"/>
      <c r="G25" s="1298"/>
      <c r="H25" s="1298"/>
      <c r="I25" s="1298"/>
      <c r="J25" s="1298"/>
      <c r="K25" s="1298"/>
      <c r="L25" s="1298"/>
      <c r="M25" s="1298"/>
      <c r="N25" s="1298"/>
      <c r="O25" s="1298"/>
      <c r="P25" s="1298"/>
      <c r="Q25" s="1298"/>
      <c r="R25" s="529"/>
      <c r="S25" s="529"/>
      <c r="T25" s="529"/>
      <c r="U25" s="529"/>
    </row>
    <row r="26" spans="1:21" s="265" customFormat="1" ht="26.25" thickBot="1">
      <c r="A26" s="1290" t="s">
        <v>1065</v>
      </c>
      <c r="B26" s="1291"/>
      <c r="C26" s="1291"/>
      <c r="D26" s="1291"/>
      <c r="E26" s="1291"/>
      <c r="F26" s="1291"/>
      <c r="G26" s="1291"/>
      <c r="H26" s="1291"/>
      <c r="I26" s="1291"/>
      <c r="J26" s="1291"/>
      <c r="K26" s="1291"/>
      <c r="L26" s="1291"/>
      <c r="M26" s="1291"/>
      <c r="N26" s="1291"/>
      <c r="O26" s="1291"/>
      <c r="P26" s="1291"/>
      <c r="Q26" s="1291"/>
      <c r="R26" s="530"/>
      <c r="S26" s="530"/>
      <c r="T26" s="530"/>
      <c r="U26" s="530"/>
    </row>
    <row r="27" spans="1:21" s="265" customFormat="1" ht="15" thickBot="1">
      <c r="D27" s="277"/>
      <c r="E27" s="277"/>
      <c r="F27" s="283"/>
      <c r="G27" s="283"/>
      <c r="I27" s="288"/>
      <c r="J27" s="288"/>
      <c r="K27" s="288"/>
      <c r="L27" s="288"/>
    </row>
    <row r="28" spans="1:21" s="265" customFormat="1" ht="13.5" thickBot="1">
      <c r="F28" s="1021" t="s">
        <v>43</v>
      </c>
      <c r="G28" s="1022"/>
      <c r="H28" s="1023" t="s">
        <v>44</v>
      </c>
      <c r="I28" s="1024"/>
      <c r="J28" s="1024"/>
      <c r="K28" s="1024"/>
      <c r="L28" s="1024"/>
      <c r="M28" s="1024"/>
      <c r="N28" s="1024"/>
      <c r="O28" s="1024"/>
      <c r="P28" s="1024"/>
      <c r="Q28" s="1198"/>
    </row>
    <row r="29" spans="1:21" s="265" customFormat="1" ht="57.75" customHeight="1" thickBot="1">
      <c r="A29" s="188" t="s">
        <v>45</v>
      </c>
      <c r="B29" s="188" t="s">
        <v>46</v>
      </c>
      <c r="C29" s="189" t="s">
        <v>47</v>
      </c>
      <c r="D29" s="189" t="s">
        <v>48</v>
      </c>
      <c r="E29" s="189" t="s">
        <v>49</v>
      </c>
      <c r="F29" s="189" t="s">
        <v>50</v>
      </c>
      <c r="G29" s="188" t="s">
        <v>51</v>
      </c>
      <c r="H29" s="189" t="s">
        <v>53</v>
      </c>
      <c r="I29" s="188" t="s">
        <v>51</v>
      </c>
      <c r="J29" s="189" t="s">
        <v>54</v>
      </c>
      <c r="K29" s="188" t="s">
        <v>51</v>
      </c>
      <c r="L29" s="189" t="s">
        <v>55</v>
      </c>
      <c r="M29" s="188" t="s">
        <v>51</v>
      </c>
      <c r="N29" s="189" t="s">
        <v>847</v>
      </c>
      <c r="O29" s="188" t="s">
        <v>51</v>
      </c>
      <c r="P29" s="189" t="s">
        <v>848</v>
      </c>
      <c r="Q29" s="188" t="s">
        <v>51</v>
      </c>
    </row>
    <row r="30" spans="1:21" s="265" customFormat="1" ht="38.25" customHeight="1" thickBot="1">
      <c r="A30" s="1270" t="s">
        <v>1066</v>
      </c>
      <c r="B30" s="1271"/>
      <c r="C30" s="192" t="s">
        <v>1276</v>
      </c>
      <c r="D30" s="193" t="s">
        <v>1277</v>
      </c>
      <c r="E30" s="194">
        <v>97020</v>
      </c>
      <c r="F30" s="510">
        <f>SUM(E30:E31)*(1-65%)</f>
        <v>34047.65</v>
      </c>
      <c r="G30" s="1123">
        <f>F30*B30</f>
        <v>0</v>
      </c>
      <c r="H30" s="510">
        <f>F30*0.03137</f>
        <v>1068.0747805000001</v>
      </c>
      <c r="I30" s="1123">
        <f>H30*B30</f>
        <v>0</v>
      </c>
      <c r="J30" s="510">
        <f>F30*0.0274</f>
        <v>932.90561000000002</v>
      </c>
      <c r="K30" s="1123">
        <f>J30*B30</f>
        <v>0</v>
      </c>
      <c r="L30" s="30">
        <f>F30*0.0228</f>
        <v>776.28642000000002</v>
      </c>
      <c r="M30" s="1123">
        <f>L30*B30</f>
        <v>0</v>
      </c>
      <c r="N30" s="30">
        <f>F30*0.0204</f>
        <v>694.57206000000008</v>
      </c>
      <c r="O30" s="1123">
        <f>N30*B30</f>
        <v>0</v>
      </c>
      <c r="P30" s="30">
        <f>F30*0.0185</f>
        <v>629.88152500000001</v>
      </c>
      <c r="Q30" s="1123">
        <f>P30*B30</f>
        <v>0</v>
      </c>
    </row>
    <row r="31" spans="1:21" s="265" customFormat="1" ht="12.75" customHeight="1" thickBot="1">
      <c r="A31" s="1293"/>
      <c r="B31" s="1294"/>
      <c r="C31" s="709" t="s">
        <v>424</v>
      </c>
      <c r="D31" s="199" t="s">
        <v>57</v>
      </c>
      <c r="E31" s="512">
        <v>259</v>
      </c>
      <c r="F31" s="710" t="s">
        <v>35</v>
      </c>
      <c r="G31" s="1272"/>
      <c r="H31" s="513" t="s">
        <v>35</v>
      </c>
      <c r="I31" s="1272"/>
      <c r="J31" s="513" t="s">
        <v>35</v>
      </c>
      <c r="K31" s="1272"/>
      <c r="L31" s="513" t="s">
        <v>35</v>
      </c>
      <c r="M31" s="1272"/>
      <c r="N31" s="513" t="s">
        <v>35</v>
      </c>
      <c r="O31" s="1272"/>
      <c r="P31" s="513" t="s">
        <v>35</v>
      </c>
      <c r="Q31" s="1272"/>
    </row>
    <row r="32" spans="1:21" s="198" customFormat="1" ht="15.75" customHeight="1" thickBot="1">
      <c r="A32" s="1002" t="s">
        <v>59</v>
      </c>
      <c r="B32" s="1277"/>
      <c r="C32" s="1277"/>
      <c r="D32" s="1277"/>
      <c r="E32" s="1277"/>
      <c r="F32" s="1277"/>
      <c r="G32" s="1277"/>
      <c r="H32" s="1277"/>
      <c r="I32" s="1277"/>
      <c r="J32" s="1277"/>
      <c r="K32" s="1277"/>
      <c r="L32" s="1277"/>
      <c r="M32" s="1277"/>
      <c r="N32" s="1277"/>
      <c r="O32" s="1277"/>
      <c r="P32" s="1277"/>
      <c r="Q32" s="1278"/>
    </row>
    <row r="33" spans="1:18" s="198" customFormat="1" ht="13.5" thickBot="1">
      <c r="A33" s="1006"/>
      <c r="B33" s="431"/>
      <c r="C33" s="471" t="s">
        <v>105</v>
      </c>
      <c r="D33" s="932" t="s">
        <v>325</v>
      </c>
      <c r="E33" s="715">
        <v>399</v>
      </c>
      <c r="F33" s="703">
        <f t="shared" ref="F33:F78" si="0">E33*(1-45%)</f>
        <v>219.45000000000002</v>
      </c>
      <c r="G33" s="40">
        <f t="shared" ref="G33:G78" si="1">F33*B33</f>
        <v>0</v>
      </c>
      <c r="H33" s="39">
        <f t="shared" ref="H33:H78" si="2">F33*0.03137</f>
        <v>6.8841465000000008</v>
      </c>
      <c r="I33" s="40">
        <f t="shared" ref="I33:I78" si="3">H33*B33</f>
        <v>0</v>
      </c>
      <c r="J33" s="39">
        <f t="shared" ref="J33:J78" si="4">F33*0.0274</f>
        <v>6.0129300000000008</v>
      </c>
      <c r="K33" s="40">
        <f t="shared" ref="K33:K78" si="5">J33*B33</f>
        <v>0</v>
      </c>
      <c r="L33" s="39">
        <f t="shared" ref="L33:L78" si="6">F33*0.0228</f>
        <v>5.0034600000000005</v>
      </c>
      <c r="M33" s="39">
        <f t="shared" ref="M33:M78" si="7">L33*B33</f>
        <v>0</v>
      </c>
      <c r="N33" s="39">
        <f t="shared" ref="N33:N78" si="8">F33*0.0204</f>
        <v>4.4767800000000006</v>
      </c>
      <c r="O33" s="39">
        <f t="shared" ref="O33:O78" si="9">N33*B33</f>
        <v>0</v>
      </c>
      <c r="P33" s="716">
        <f t="shared" ref="P33:P78" si="10">F33*0.0185</f>
        <v>4.059825</v>
      </c>
      <c r="Q33" s="39">
        <f t="shared" ref="Q33:Q78" si="11">P33*B33</f>
        <v>0</v>
      </c>
      <c r="R33" s="528"/>
    </row>
    <row r="34" spans="1:18" s="198" customFormat="1" ht="13.5" thickBot="1">
      <c r="A34" s="1006"/>
      <c r="B34" s="416"/>
      <c r="C34" s="199" t="s">
        <v>1278</v>
      </c>
      <c r="D34" s="426" t="s">
        <v>1192</v>
      </c>
      <c r="E34" s="715">
        <v>1500</v>
      </c>
      <c r="F34" s="38">
        <f t="shared" si="0"/>
        <v>825.00000000000011</v>
      </c>
      <c r="G34" s="41">
        <f t="shared" si="1"/>
        <v>0</v>
      </c>
      <c r="H34" s="39">
        <f t="shared" si="2"/>
        <v>25.880250000000004</v>
      </c>
      <c r="I34" s="40">
        <f t="shared" si="3"/>
        <v>0</v>
      </c>
      <c r="J34" s="39">
        <f t="shared" si="4"/>
        <v>22.605000000000004</v>
      </c>
      <c r="K34" s="40">
        <f t="shared" si="5"/>
        <v>0</v>
      </c>
      <c r="L34" s="39">
        <f t="shared" si="6"/>
        <v>18.810000000000002</v>
      </c>
      <c r="M34" s="39">
        <f t="shared" si="7"/>
        <v>0</v>
      </c>
      <c r="N34" s="39">
        <f t="shared" si="8"/>
        <v>16.830000000000002</v>
      </c>
      <c r="O34" s="39">
        <f t="shared" si="9"/>
        <v>0</v>
      </c>
      <c r="P34" s="717">
        <f t="shared" si="10"/>
        <v>15.262500000000001</v>
      </c>
      <c r="Q34" s="39">
        <f t="shared" si="11"/>
        <v>0</v>
      </c>
      <c r="R34" s="528"/>
    </row>
    <row r="35" spans="1:18" s="198" customFormat="1" ht="13.5" thickBot="1">
      <c r="A35" s="1006"/>
      <c r="B35" s="416"/>
      <c r="C35" s="199" t="s">
        <v>1193</v>
      </c>
      <c r="D35" s="426" t="s">
        <v>1194</v>
      </c>
      <c r="E35" s="715">
        <v>12080.64</v>
      </c>
      <c r="F35" s="38">
        <f t="shared" si="0"/>
        <v>6644.3519999999999</v>
      </c>
      <c r="G35" s="41">
        <f t="shared" si="1"/>
        <v>0</v>
      </c>
      <c r="H35" s="39">
        <f t="shared" si="2"/>
        <v>208.43332224</v>
      </c>
      <c r="I35" s="40">
        <f t="shared" si="3"/>
        <v>0</v>
      </c>
      <c r="J35" s="39">
        <f t="shared" si="4"/>
        <v>182.0552448</v>
      </c>
      <c r="K35" s="40">
        <f t="shared" si="5"/>
        <v>0</v>
      </c>
      <c r="L35" s="39">
        <f t="shared" si="6"/>
        <v>151.49122560000001</v>
      </c>
      <c r="M35" s="39">
        <f t="shared" si="7"/>
        <v>0</v>
      </c>
      <c r="N35" s="39">
        <f t="shared" si="8"/>
        <v>135.54478080000001</v>
      </c>
      <c r="O35" s="39">
        <f t="shared" si="9"/>
        <v>0</v>
      </c>
      <c r="P35" s="717">
        <f t="shared" si="10"/>
        <v>122.92051199999999</v>
      </c>
      <c r="Q35" s="39">
        <f t="shared" si="11"/>
        <v>0</v>
      </c>
      <c r="R35" s="528"/>
    </row>
    <row r="36" spans="1:18" s="198" customFormat="1" ht="13.5" thickBot="1">
      <c r="A36" s="1006"/>
      <c r="B36" s="416"/>
      <c r="C36" s="199" t="s">
        <v>1197</v>
      </c>
      <c r="D36" s="426" t="s">
        <v>1400</v>
      </c>
      <c r="E36" s="715">
        <v>3840.72</v>
      </c>
      <c r="F36" s="38">
        <f t="shared" si="0"/>
        <v>2112.3960000000002</v>
      </c>
      <c r="G36" s="41">
        <f t="shared" si="1"/>
        <v>0</v>
      </c>
      <c r="H36" s="39">
        <f t="shared" si="2"/>
        <v>66.265862520000013</v>
      </c>
      <c r="I36" s="40">
        <f t="shared" si="3"/>
        <v>0</v>
      </c>
      <c r="J36" s="39">
        <f t="shared" si="4"/>
        <v>57.87965040000001</v>
      </c>
      <c r="K36" s="40">
        <f t="shared" si="5"/>
        <v>0</v>
      </c>
      <c r="L36" s="39">
        <f t="shared" si="6"/>
        <v>48.162628800000007</v>
      </c>
      <c r="M36" s="39">
        <f t="shared" si="7"/>
        <v>0</v>
      </c>
      <c r="N36" s="39">
        <f t="shared" si="8"/>
        <v>43.092878400000004</v>
      </c>
      <c r="O36" s="39">
        <f t="shared" si="9"/>
        <v>0</v>
      </c>
      <c r="P36" s="717">
        <f t="shared" si="10"/>
        <v>39.079326000000002</v>
      </c>
      <c r="Q36" s="39">
        <f t="shared" si="11"/>
        <v>0</v>
      </c>
      <c r="R36" s="528"/>
    </row>
    <row r="37" spans="1:18" s="198" customFormat="1" ht="13.5" thickBot="1">
      <c r="A37" s="1006"/>
      <c r="B37" s="416"/>
      <c r="C37" s="199" t="s">
        <v>1195</v>
      </c>
      <c r="D37" s="426" t="s">
        <v>1196</v>
      </c>
      <c r="E37" s="715">
        <v>3203.2</v>
      </c>
      <c r="F37" s="38">
        <f t="shared" si="0"/>
        <v>1761.76</v>
      </c>
      <c r="G37" s="41">
        <f t="shared" si="1"/>
        <v>0</v>
      </c>
      <c r="H37" s="39">
        <f t="shared" si="2"/>
        <v>55.2664112</v>
      </c>
      <c r="I37" s="40">
        <f t="shared" si="3"/>
        <v>0</v>
      </c>
      <c r="J37" s="39">
        <f t="shared" si="4"/>
        <v>48.272224000000001</v>
      </c>
      <c r="K37" s="40">
        <f t="shared" si="5"/>
        <v>0</v>
      </c>
      <c r="L37" s="39">
        <f t="shared" si="6"/>
        <v>40.168128000000003</v>
      </c>
      <c r="M37" s="39">
        <f t="shared" si="7"/>
        <v>0</v>
      </c>
      <c r="N37" s="39">
        <f t="shared" si="8"/>
        <v>35.939904000000006</v>
      </c>
      <c r="O37" s="39">
        <f t="shared" si="9"/>
        <v>0</v>
      </c>
      <c r="P37" s="717">
        <f t="shared" si="10"/>
        <v>32.592559999999999</v>
      </c>
      <c r="Q37" s="39">
        <f t="shared" si="11"/>
        <v>0</v>
      </c>
      <c r="R37" s="528"/>
    </row>
    <row r="38" spans="1:18" s="198" customFormat="1" ht="13.5" thickBot="1">
      <c r="A38" s="1006"/>
      <c r="B38" s="416"/>
      <c r="C38" s="199" t="s">
        <v>1089</v>
      </c>
      <c r="D38" s="426" t="s">
        <v>1090</v>
      </c>
      <c r="E38" s="715">
        <v>3606.97</v>
      </c>
      <c r="F38" s="38">
        <f t="shared" si="0"/>
        <v>1983.8335</v>
      </c>
      <c r="G38" s="41">
        <f t="shared" si="1"/>
        <v>0</v>
      </c>
      <c r="H38" s="39">
        <f t="shared" si="2"/>
        <v>62.232856895000005</v>
      </c>
      <c r="I38" s="40">
        <f t="shared" si="3"/>
        <v>0</v>
      </c>
      <c r="J38" s="39">
        <f t="shared" si="4"/>
        <v>54.357037900000002</v>
      </c>
      <c r="K38" s="40">
        <f t="shared" si="5"/>
        <v>0</v>
      </c>
      <c r="L38" s="39">
        <f t="shared" si="6"/>
        <v>45.231403800000002</v>
      </c>
      <c r="M38" s="39">
        <f t="shared" si="7"/>
        <v>0</v>
      </c>
      <c r="N38" s="39">
        <f t="shared" si="8"/>
        <v>40.470203400000003</v>
      </c>
      <c r="O38" s="39">
        <f t="shared" si="9"/>
        <v>0</v>
      </c>
      <c r="P38" s="717">
        <f t="shared" si="10"/>
        <v>36.700919749999997</v>
      </c>
      <c r="Q38" s="39">
        <f t="shared" si="11"/>
        <v>0</v>
      </c>
      <c r="R38" s="528"/>
    </row>
    <row r="39" spans="1:18" s="198" customFormat="1" ht="13.5" thickBot="1">
      <c r="A39" s="1006"/>
      <c r="B39" s="416"/>
      <c r="C39" s="199" t="s">
        <v>1069</v>
      </c>
      <c r="D39" s="426" t="s">
        <v>1070</v>
      </c>
      <c r="E39" s="715">
        <v>1701.26</v>
      </c>
      <c r="F39" s="38">
        <f t="shared" si="0"/>
        <v>935.6930000000001</v>
      </c>
      <c r="G39" s="41">
        <f t="shared" si="1"/>
        <v>0</v>
      </c>
      <c r="H39" s="39">
        <f t="shared" si="2"/>
        <v>29.352689410000004</v>
      </c>
      <c r="I39" s="40">
        <f t="shared" si="3"/>
        <v>0</v>
      </c>
      <c r="J39" s="39">
        <f t="shared" si="4"/>
        <v>25.637988200000002</v>
      </c>
      <c r="K39" s="40">
        <f t="shared" si="5"/>
        <v>0</v>
      </c>
      <c r="L39" s="39">
        <f t="shared" si="6"/>
        <v>21.333800400000001</v>
      </c>
      <c r="M39" s="39">
        <f t="shared" si="7"/>
        <v>0</v>
      </c>
      <c r="N39" s="39">
        <f t="shared" si="8"/>
        <v>19.088137200000002</v>
      </c>
      <c r="O39" s="39">
        <f t="shared" si="9"/>
        <v>0</v>
      </c>
      <c r="P39" s="717">
        <f t="shared" si="10"/>
        <v>17.3103205</v>
      </c>
      <c r="Q39" s="39">
        <f t="shared" si="11"/>
        <v>0</v>
      </c>
      <c r="R39" s="528"/>
    </row>
    <row r="40" spans="1:18" s="198" customFormat="1" ht="13.5" thickBot="1">
      <c r="A40" s="1006"/>
      <c r="B40" s="416"/>
      <c r="C40" s="199" t="s">
        <v>1095</v>
      </c>
      <c r="D40" s="426" t="s">
        <v>1096</v>
      </c>
      <c r="E40" s="715">
        <v>4637.54</v>
      </c>
      <c r="F40" s="38">
        <f t="shared" si="0"/>
        <v>2550.6470000000004</v>
      </c>
      <c r="G40" s="41">
        <f t="shared" si="1"/>
        <v>0</v>
      </c>
      <c r="H40" s="39">
        <f t="shared" si="2"/>
        <v>80.013796390000024</v>
      </c>
      <c r="I40" s="40">
        <f t="shared" si="3"/>
        <v>0</v>
      </c>
      <c r="J40" s="39">
        <f t="shared" si="4"/>
        <v>69.887727800000008</v>
      </c>
      <c r="K40" s="40">
        <f t="shared" si="5"/>
        <v>0</v>
      </c>
      <c r="L40" s="39">
        <f t="shared" si="6"/>
        <v>58.154751600000012</v>
      </c>
      <c r="M40" s="39">
        <f t="shared" si="7"/>
        <v>0</v>
      </c>
      <c r="N40" s="39">
        <f t="shared" si="8"/>
        <v>52.033198800000015</v>
      </c>
      <c r="O40" s="39">
        <f t="shared" si="9"/>
        <v>0</v>
      </c>
      <c r="P40" s="717">
        <f t="shared" si="10"/>
        <v>47.186969500000004</v>
      </c>
      <c r="Q40" s="39">
        <f t="shared" si="11"/>
        <v>0</v>
      </c>
      <c r="R40" s="528"/>
    </row>
    <row r="41" spans="1:18" s="198" customFormat="1" ht="13.5" thickBot="1">
      <c r="A41" s="1006"/>
      <c r="B41" s="416"/>
      <c r="C41" s="199" t="s">
        <v>1083</v>
      </c>
      <c r="D41" s="426" t="s">
        <v>1084</v>
      </c>
      <c r="E41" s="715">
        <v>1422.19</v>
      </c>
      <c r="F41" s="38">
        <f t="shared" si="0"/>
        <v>782.20450000000005</v>
      </c>
      <c r="G41" s="41">
        <f t="shared" si="1"/>
        <v>0</v>
      </c>
      <c r="H41" s="39">
        <f t="shared" si="2"/>
        <v>24.537755165000004</v>
      </c>
      <c r="I41" s="40">
        <f t="shared" si="3"/>
        <v>0</v>
      </c>
      <c r="J41" s="39">
        <f t="shared" si="4"/>
        <v>21.432403300000001</v>
      </c>
      <c r="K41" s="40">
        <f t="shared" si="5"/>
        <v>0</v>
      </c>
      <c r="L41" s="39">
        <f t="shared" si="6"/>
        <v>17.834262600000002</v>
      </c>
      <c r="M41" s="39">
        <f t="shared" si="7"/>
        <v>0</v>
      </c>
      <c r="N41" s="39">
        <f t="shared" si="8"/>
        <v>15.956971800000002</v>
      </c>
      <c r="O41" s="39">
        <f t="shared" si="9"/>
        <v>0</v>
      </c>
      <c r="P41" s="717">
        <f t="shared" si="10"/>
        <v>14.47078325</v>
      </c>
      <c r="Q41" s="39">
        <f t="shared" si="11"/>
        <v>0</v>
      </c>
      <c r="R41" s="528"/>
    </row>
    <row r="42" spans="1:18" s="198" customFormat="1" ht="13.5" thickBot="1">
      <c r="A42" s="1006"/>
      <c r="B42" s="416"/>
      <c r="C42" s="199" t="s">
        <v>1071</v>
      </c>
      <c r="D42" s="426" t="s">
        <v>1072</v>
      </c>
      <c r="E42" s="715">
        <v>1701.26</v>
      </c>
      <c r="F42" s="38">
        <f t="shared" si="0"/>
        <v>935.6930000000001</v>
      </c>
      <c r="G42" s="41">
        <f t="shared" si="1"/>
        <v>0</v>
      </c>
      <c r="H42" s="39">
        <f t="shared" si="2"/>
        <v>29.352689410000004</v>
      </c>
      <c r="I42" s="40">
        <f t="shared" si="3"/>
        <v>0</v>
      </c>
      <c r="J42" s="39">
        <f t="shared" si="4"/>
        <v>25.637988200000002</v>
      </c>
      <c r="K42" s="40">
        <f t="shared" si="5"/>
        <v>0</v>
      </c>
      <c r="L42" s="39">
        <f t="shared" si="6"/>
        <v>21.333800400000001</v>
      </c>
      <c r="M42" s="39">
        <f t="shared" si="7"/>
        <v>0</v>
      </c>
      <c r="N42" s="39">
        <f t="shared" si="8"/>
        <v>19.088137200000002</v>
      </c>
      <c r="O42" s="39">
        <f t="shared" si="9"/>
        <v>0</v>
      </c>
      <c r="P42" s="717">
        <f t="shared" si="10"/>
        <v>17.3103205</v>
      </c>
      <c r="Q42" s="39">
        <f t="shared" si="11"/>
        <v>0</v>
      </c>
      <c r="R42" s="528"/>
    </row>
    <row r="43" spans="1:18" s="198" customFormat="1" ht="13.5" thickBot="1">
      <c r="A43" s="1006"/>
      <c r="B43" s="416"/>
      <c r="C43" s="199" t="s">
        <v>1085</v>
      </c>
      <c r="D43" s="426" t="s">
        <v>1086</v>
      </c>
      <c r="E43" s="715">
        <v>1545.83</v>
      </c>
      <c r="F43" s="38">
        <f t="shared" si="0"/>
        <v>850.20650000000001</v>
      </c>
      <c r="G43" s="41">
        <f t="shared" si="1"/>
        <v>0</v>
      </c>
      <c r="H43" s="39">
        <f t="shared" si="2"/>
        <v>26.670977905000001</v>
      </c>
      <c r="I43" s="40">
        <f t="shared" si="3"/>
        <v>0</v>
      </c>
      <c r="J43" s="39">
        <f t="shared" si="4"/>
        <v>23.295658100000001</v>
      </c>
      <c r="K43" s="40">
        <f t="shared" si="5"/>
        <v>0</v>
      </c>
      <c r="L43" s="39">
        <f t="shared" si="6"/>
        <v>19.384708200000002</v>
      </c>
      <c r="M43" s="39">
        <f t="shared" si="7"/>
        <v>0</v>
      </c>
      <c r="N43" s="39">
        <f t="shared" si="8"/>
        <v>17.344212600000002</v>
      </c>
      <c r="O43" s="39">
        <f t="shared" si="9"/>
        <v>0</v>
      </c>
      <c r="P43" s="717">
        <f t="shared" si="10"/>
        <v>15.72882025</v>
      </c>
      <c r="Q43" s="39">
        <f t="shared" si="11"/>
        <v>0</v>
      </c>
      <c r="R43" s="528"/>
    </row>
    <row r="44" spans="1:18" s="198" customFormat="1" ht="13.5" thickBot="1">
      <c r="A44" s="1006"/>
      <c r="B44" s="416"/>
      <c r="C44" s="199" t="s">
        <v>1073</v>
      </c>
      <c r="D44" s="426" t="s">
        <v>1074</v>
      </c>
      <c r="E44" s="715">
        <v>1701.26</v>
      </c>
      <c r="F44" s="38">
        <f t="shared" si="0"/>
        <v>935.6930000000001</v>
      </c>
      <c r="G44" s="41">
        <f t="shared" si="1"/>
        <v>0</v>
      </c>
      <c r="H44" s="39">
        <f t="shared" si="2"/>
        <v>29.352689410000004</v>
      </c>
      <c r="I44" s="40">
        <f t="shared" si="3"/>
        <v>0</v>
      </c>
      <c r="J44" s="39">
        <f t="shared" si="4"/>
        <v>25.637988200000002</v>
      </c>
      <c r="K44" s="40">
        <f t="shared" si="5"/>
        <v>0</v>
      </c>
      <c r="L44" s="39">
        <f t="shared" si="6"/>
        <v>21.333800400000001</v>
      </c>
      <c r="M44" s="39">
        <f t="shared" si="7"/>
        <v>0</v>
      </c>
      <c r="N44" s="39">
        <f t="shared" si="8"/>
        <v>19.088137200000002</v>
      </c>
      <c r="O44" s="39">
        <f t="shared" si="9"/>
        <v>0</v>
      </c>
      <c r="P44" s="717">
        <f t="shared" si="10"/>
        <v>17.3103205</v>
      </c>
      <c r="Q44" s="39">
        <f t="shared" si="11"/>
        <v>0</v>
      </c>
      <c r="R44" s="528"/>
    </row>
    <row r="45" spans="1:18" s="198" customFormat="1" ht="13.5" thickBot="1">
      <c r="A45" s="1006"/>
      <c r="B45" s="416"/>
      <c r="C45" s="199" t="s">
        <v>1087</v>
      </c>
      <c r="D45" s="426" t="s">
        <v>1088</v>
      </c>
      <c r="E45" s="715">
        <v>1545.83</v>
      </c>
      <c r="F45" s="38">
        <f t="shared" si="0"/>
        <v>850.20650000000001</v>
      </c>
      <c r="G45" s="41">
        <f t="shared" si="1"/>
        <v>0</v>
      </c>
      <c r="H45" s="39">
        <f t="shared" si="2"/>
        <v>26.670977905000001</v>
      </c>
      <c r="I45" s="40">
        <f t="shared" si="3"/>
        <v>0</v>
      </c>
      <c r="J45" s="39">
        <f t="shared" si="4"/>
        <v>23.295658100000001</v>
      </c>
      <c r="K45" s="40">
        <f t="shared" si="5"/>
        <v>0</v>
      </c>
      <c r="L45" s="39">
        <f t="shared" si="6"/>
        <v>19.384708200000002</v>
      </c>
      <c r="M45" s="39">
        <f t="shared" si="7"/>
        <v>0</v>
      </c>
      <c r="N45" s="39">
        <f t="shared" si="8"/>
        <v>17.344212600000002</v>
      </c>
      <c r="O45" s="39">
        <f t="shared" si="9"/>
        <v>0</v>
      </c>
      <c r="P45" s="717">
        <f t="shared" si="10"/>
        <v>15.72882025</v>
      </c>
      <c r="Q45" s="39">
        <f t="shared" si="11"/>
        <v>0</v>
      </c>
      <c r="R45" s="528"/>
    </row>
    <row r="46" spans="1:18" s="198" customFormat="1" ht="13.5" thickBot="1">
      <c r="A46" s="1006"/>
      <c r="B46" s="416"/>
      <c r="C46" s="199" t="s">
        <v>1079</v>
      </c>
      <c r="D46" s="426" t="s">
        <v>1080</v>
      </c>
      <c r="E46" s="715">
        <v>1545.83</v>
      </c>
      <c r="F46" s="38">
        <f t="shared" si="0"/>
        <v>850.20650000000001</v>
      </c>
      <c r="G46" s="41">
        <f t="shared" si="1"/>
        <v>0</v>
      </c>
      <c r="H46" s="39">
        <f t="shared" si="2"/>
        <v>26.670977905000001</v>
      </c>
      <c r="I46" s="40">
        <f t="shared" si="3"/>
        <v>0</v>
      </c>
      <c r="J46" s="39">
        <f t="shared" si="4"/>
        <v>23.295658100000001</v>
      </c>
      <c r="K46" s="40">
        <f t="shared" si="5"/>
        <v>0</v>
      </c>
      <c r="L46" s="39">
        <f t="shared" si="6"/>
        <v>19.384708200000002</v>
      </c>
      <c r="M46" s="39">
        <f t="shared" si="7"/>
        <v>0</v>
      </c>
      <c r="N46" s="39">
        <f t="shared" si="8"/>
        <v>17.344212600000002</v>
      </c>
      <c r="O46" s="39">
        <f t="shared" si="9"/>
        <v>0</v>
      </c>
      <c r="P46" s="717">
        <f t="shared" si="10"/>
        <v>15.72882025</v>
      </c>
      <c r="Q46" s="39">
        <f t="shared" si="11"/>
        <v>0</v>
      </c>
      <c r="R46" s="528"/>
    </row>
    <row r="47" spans="1:18" s="198" customFormat="1" ht="13.5" thickBot="1">
      <c r="A47" s="1006"/>
      <c r="B47" s="416"/>
      <c r="C47" s="199" t="s">
        <v>1075</v>
      </c>
      <c r="D47" s="426" t="s">
        <v>1076</v>
      </c>
      <c r="E47" s="715">
        <v>1545.83</v>
      </c>
      <c r="F47" s="38">
        <f t="shared" si="0"/>
        <v>850.20650000000001</v>
      </c>
      <c r="G47" s="41">
        <f t="shared" si="1"/>
        <v>0</v>
      </c>
      <c r="H47" s="39">
        <f t="shared" si="2"/>
        <v>26.670977905000001</v>
      </c>
      <c r="I47" s="40">
        <f t="shared" si="3"/>
        <v>0</v>
      </c>
      <c r="J47" s="39">
        <f t="shared" si="4"/>
        <v>23.295658100000001</v>
      </c>
      <c r="K47" s="40">
        <f t="shared" si="5"/>
        <v>0</v>
      </c>
      <c r="L47" s="39">
        <f t="shared" si="6"/>
        <v>19.384708200000002</v>
      </c>
      <c r="M47" s="39">
        <f t="shared" si="7"/>
        <v>0</v>
      </c>
      <c r="N47" s="39">
        <f t="shared" si="8"/>
        <v>17.344212600000002</v>
      </c>
      <c r="O47" s="39">
        <f t="shared" si="9"/>
        <v>0</v>
      </c>
      <c r="P47" s="717">
        <f t="shared" si="10"/>
        <v>15.72882025</v>
      </c>
      <c r="Q47" s="39">
        <f t="shared" si="11"/>
        <v>0</v>
      </c>
      <c r="R47" s="528"/>
    </row>
    <row r="48" spans="1:18" s="198" customFormat="1" ht="13.5" thickBot="1">
      <c r="A48" s="1006"/>
      <c r="B48" s="416"/>
      <c r="C48" s="199" t="s">
        <v>1097</v>
      </c>
      <c r="D48" s="426" t="s">
        <v>1098</v>
      </c>
      <c r="E48" s="715">
        <v>2679.44</v>
      </c>
      <c r="F48" s="38">
        <f t="shared" si="0"/>
        <v>1473.6920000000002</v>
      </c>
      <c r="G48" s="41">
        <f t="shared" si="1"/>
        <v>0</v>
      </c>
      <c r="H48" s="39">
        <f t="shared" si="2"/>
        <v>46.229718040000009</v>
      </c>
      <c r="I48" s="40">
        <f t="shared" si="3"/>
        <v>0</v>
      </c>
      <c r="J48" s="39">
        <f t="shared" si="4"/>
        <v>40.379160800000008</v>
      </c>
      <c r="K48" s="40">
        <f t="shared" si="5"/>
        <v>0</v>
      </c>
      <c r="L48" s="39">
        <f t="shared" si="6"/>
        <v>33.600177600000009</v>
      </c>
      <c r="M48" s="39">
        <f t="shared" si="7"/>
        <v>0</v>
      </c>
      <c r="N48" s="39">
        <f t="shared" si="8"/>
        <v>30.063316800000006</v>
      </c>
      <c r="O48" s="39">
        <f t="shared" si="9"/>
        <v>0</v>
      </c>
      <c r="P48" s="717">
        <f t="shared" si="10"/>
        <v>27.263302000000003</v>
      </c>
      <c r="Q48" s="39">
        <f t="shared" si="11"/>
        <v>0</v>
      </c>
      <c r="R48" s="528"/>
    </row>
    <row r="49" spans="1:18" s="198" customFormat="1" ht="13.5" thickBot="1">
      <c r="A49" s="1006"/>
      <c r="B49" s="416"/>
      <c r="C49" s="199" t="s">
        <v>1077</v>
      </c>
      <c r="D49" s="426" t="s">
        <v>1078</v>
      </c>
      <c r="E49" s="715">
        <v>1545.83</v>
      </c>
      <c r="F49" s="38">
        <f t="shared" si="0"/>
        <v>850.20650000000001</v>
      </c>
      <c r="G49" s="41">
        <f t="shared" si="1"/>
        <v>0</v>
      </c>
      <c r="H49" s="39">
        <f t="shared" si="2"/>
        <v>26.670977905000001</v>
      </c>
      <c r="I49" s="40">
        <f t="shared" si="3"/>
        <v>0</v>
      </c>
      <c r="J49" s="39">
        <f t="shared" si="4"/>
        <v>23.295658100000001</v>
      </c>
      <c r="K49" s="40">
        <f t="shared" si="5"/>
        <v>0</v>
      </c>
      <c r="L49" s="39">
        <f t="shared" si="6"/>
        <v>19.384708200000002</v>
      </c>
      <c r="M49" s="39">
        <f t="shared" si="7"/>
        <v>0</v>
      </c>
      <c r="N49" s="39">
        <f t="shared" si="8"/>
        <v>17.344212600000002</v>
      </c>
      <c r="O49" s="39">
        <f t="shared" si="9"/>
        <v>0</v>
      </c>
      <c r="P49" s="717">
        <f t="shared" si="10"/>
        <v>15.72882025</v>
      </c>
      <c r="Q49" s="39">
        <f t="shared" si="11"/>
        <v>0</v>
      </c>
      <c r="R49" s="528"/>
    </row>
    <row r="50" spans="1:18" s="198" customFormat="1" ht="13.5" thickBot="1">
      <c r="A50" s="1006"/>
      <c r="B50" s="416"/>
      <c r="C50" s="199" t="s">
        <v>1099</v>
      </c>
      <c r="D50" s="426" t="s">
        <v>1100</v>
      </c>
      <c r="E50" s="715">
        <v>5152.8100000000004</v>
      </c>
      <c r="F50" s="38">
        <f t="shared" si="0"/>
        <v>2834.0455000000006</v>
      </c>
      <c r="G50" s="41">
        <f t="shared" si="1"/>
        <v>0</v>
      </c>
      <c r="H50" s="39">
        <f t="shared" si="2"/>
        <v>88.904007335000031</v>
      </c>
      <c r="I50" s="40">
        <f t="shared" si="3"/>
        <v>0</v>
      </c>
      <c r="J50" s="39">
        <f t="shared" si="4"/>
        <v>77.652846700000026</v>
      </c>
      <c r="K50" s="40">
        <f t="shared" si="5"/>
        <v>0</v>
      </c>
      <c r="L50" s="39">
        <f t="shared" si="6"/>
        <v>64.616237400000017</v>
      </c>
      <c r="M50" s="39">
        <f t="shared" si="7"/>
        <v>0</v>
      </c>
      <c r="N50" s="39">
        <f t="shared" si="8"/>
        <v>57.814528200000019</v>
      </c>
      <c r="O50" s="39">
        <f t="shared" si="9"/>
        <v>0</v>
      </c>
      <c r="P50" s="717">
        <f t="shared" si="10"/>
        <v>52.429841750000008</v>
      </c>
      <c r="Q50" s="39">
        <f t="shared" si="11"/>
        <v>0</v>
      </c>
      <c r="R50" s="528"/>
    </row>
    <row r="51" spans="1:18" s="198" customFormat="1" ht="13.5" thickBot="1">
      <c r="A51" s="1006"/>
      <c r="B51" s="416"/>
      <c r="C51" s="199" t="s">
        <v>1091</v>
      </c>
      <c r="D51" s="426" t="s">
        <v>1092</v>
      </c>
      <c r="E51" s="715">
        <v>1648.89</v>
      </c>
      <c r="F51" s="38">
        <f t="shared" si="0"/>
        <v>906.88950000000011</v>
      </c>
      <c r="G51" s="41">
        <f t="shared" si="1"/>
        <v>0</v>
      </c>
      <c r="H51" s="39">
        <f t="shared" si="2"/>
        <v>28.449123615000005</v>
      </c>
      <c r="I51" s="40">
        <f t="shared" si="3"/>
        <v>0</v>
      </c>
      <c r="J51" s="39">
        <f t="shared" si="4"/>
        <v>24.848772300000004</v>
      </c>
      <c r="K51" s="40">
        <f t="shared" si="5"/>
        <v>0</v>
      </c>
      <c r="L51" s="39">
        <f t="shared" si="6"/>
        <v>20.677080600000004</v>
      </c>
      <c r="M51" s="39">
        <f t="shared" si="7"/>
        <v>0</v>
      </c>
      <c r="N51" s="39">
        <f t="shared" si="8"/>
        <v>18.500545800000005</v>
      </c>
      <c r="O51" s="39">
        <f t="shared" si="9"/>
        <v>0</v>
      </c>
      <c r="P51" s="717">
        <f t="shared" si="10"/>
        <v>16.777455750000001</v>
      </c>
      <c r="Q51" s="39">
        <f t="shared" si="11"/>
        <v>0</v>
      </c>
      <c r="R51" s="528"/>
    </row>
    <row r="52" spans="1:18" s="198" customFormat="1" ht="13.5" thickBot="1">
      <c r="A52" s="1006"/>
      <c r="B52" s="416"/>
      <c r="C52" s="199" t="s">
        <v>1093</v>
      </c>
      <c r="D52" s="426" t="s">
        <v>1094</v>
      </c>
      <c r="E52" s="715">
        <v>1648.89</v>
      </c>
      <c r="F52" s="38">
        <f t="shared" si="0"/>
        <v>906.88950000000011</v>
      </c>
      <c r="G52" s="41">
        <f t="shared" si="1"/>
        <v>0</v>
      </c>
      <c r="H52" s="39">
        <f t="shared" si="2"/>
        <v>28.449123615000005</v>
      </c>
      <c r="I52" s="40">
        <f t="shared" si="3"/>
        <v>0</v>
      </c>
      <c r="J52" s="39">
        <f t="shared" si="4"/>
        <v>24.848772300000004</v>
      </c>
      <c r="K52" s="40">
        <f t="shared" si="5"/>
        <v>0</v>
      </c>
      <c r="L52" s="39">
        <f t="shared" si="6"/>
        <v>20.677080600000004</v>
      </c>
      <c r="M52" s="39">
        <f t="shared" si="7"/>
        <v>0</v>
      </c>
      <c r="N52" s="39">
        <f t="shared" si="8"/>
        <v>18.500545800000005</v>
      </c>
      <c r="O52" s="39">
        <f t="shared" si="9"/>
        <v>0</v>
      </c>
      <c r="P52" s="717">
        <f t="shared" si="10"/>
        <v>16.777455750000001</v>
      </c>
      <c r="Q52" s="39">
        <f t="shared" si="11"/>
        <v>0</v>
      </c>
      <c r="R52" s="528"/>
    </row>
    <row r="53" spans="1:18" s="198" customFormat="1" ht="13.5" thickBot="1">
      <c r="A53" s="1006"/>
      <c r="B53" s="416"/>
      <c r="C53" s="199" t="s">
        <v>1161</v>
      </c>
      <c r="D53" s="426" t="s">
        <v>1162</v>
      </c>
      <c r="E53" s="715">
        <v>4159.99</v>
      </c>
      <c r="F53" s="38">
        <f t="shared" si="0"/>
        <v>2287.9945000000002</v>
      </c>
      <c r="G53" s="41">
        <f t="shared" si="1"/>
        <v>0</v>
      </c>
      <c r="H53" s="39">
        <f t="shared" si="2"/>
        <v>71.774387465000018</v>
      </c>
      <c r="I53" s="40">
        <f t="shared" si="3"/>
        <v>0</v>
      </c>
      <c r="J53" s="39">
        <f t="shared" si="4"/>
        <v>62.69104930000001</v>
      </c>
      <c r="K53" s="40">
        <f t="shared" si="5"/>
        <v>0</v>
      </c>
      <c r="L53" s="39">
        <f t="shared" si="6"/>
        <v>52.166274600000008</v>
      </c>
      <c r="M53" s="39">
        <f t="shared" si="7"/>
        <v>0</v>
      </c>
      <c r="N53" s="39">
        <f t="shared" si="8"/>
        <v>46.675087800000007</v>
      </c>
      <c r="O53" s="39">
        <f t="shared" si="9"/>
        <v>0</v>
      </c>
      <c r="P53" s="717">
        <f t="shared" si="10"/>
        <v>42.327898250000004</v>
      </c>
      <c r="Q53" s="39">
        <f t="shared" si="11"/>
        <v>0</v>
      </c>
      <c r="R53" s="528"/>
    </row>
    <row r="54" spans="1:18" s="198" customFormat="1" ht="13.5" thickBot="1">
      <c r="A54" s="1006"/>
      <c r="B54" s="416"/>
      <c r="C54" s="199" t="s">
        <v>1165</v>
      </c>
      <c r="D54" s="426" t="s">
        <v>1166</v>
      </c>
      <c r="E54" s="715">
        <v>3690.62</v>
      </c>
      <c r="F54" s="38">
        <f t="shared" si="0"/>
        <v>2029.8410000000001</v>
      </c>
      <c r="G54" s="41">
        <f t="shared" si="1"/>
        <v>0</v>
      </c>
      <c r="H54" s="39">
        <f t="shared" si="2"/>
        <v>63.67611217000001</v>
      </c>
      <c r="I54" s="40">
        <f t="shared" si="3"/>
        <v>0</v>
      </c>
      <c r="J54" s="39">
        <f t="shared" si="4"/>
        <v>55.617643400000006</v>
      </c>
      <c r="K54" s="40">
        <f t="shared" si="5"/>
        <v>0</v>
      </c>
      <c r="L54" s="39">
        <f t="shared" si="6"/>
        <v>46.280374800000004</v>
      </c>
      <c r="M54" s="39">
        <f t="shared" si="7"/>
        <v>0</v>
      </c>
      <c r="N54" s="39">
        <f t="shared" si="8"/>
        <v>41.408756400000009</v>
      </c>
      <c r="O54" s="39">
        <f t="shared" si="9"/>
        <v>0</v>
      </c>
      <c r="P54" s="717">
        <f t="shared" si="10"/>
        <v>37.552058500000001</v>
      </c>
      <c r="Q54" s="39">
        <f t="shared" si="11"/>
        <v>0</v>
      </c>
      <c r="R54" s="528"/>
    </row>
    <row r="55" spans="1:18" s="198" customFormat="1" ht="13.5" thickBot="1">
      <c r="A55" s="1006"/>
      <c r="B55" s="416"/>
      <c r="C55" s="199" t="s">
        <v>1163</v>
      </c>
      <c r="D55" s="426" t="s">
        <v>1164</v>
      </c>
      <c r="E55" s="715">
        <v>3690.62</v>
      </c>
      <c r="F55" s="38">
        <f t="shared" si="0"/>
        <v>2029.8410000000001</v>
      </c>
      <c r="G55" s="41">
        <f t="shared" si="1"/>
        <v>0</v>
      </c>
      <c r="H55" s="39">
        <f t="shared" si="2"/>
        <v>63.67611217000001</v>
      </c>
      <c r="I55" s="40">
        <f t="shared" si="3"/>
        <v>0</v>
      </c>
      <c r="J55" s="39">
        <f t="shared" si="4"/>
        <v>55.617643400000006</v>
      </c>
      <c r="K55" s="40">
        <f t="shared" si="5"/>
        <v>0</v>
      </c>
      <c r="L55" s="39">
        <f t="shared" si="6"/>
        <v>46.280374800000004</v>
      </c>
      <c r="M55" s="39">
        <f t="shared" si="7"/>
        <v>0</v>
      </c>
      <c r="N55" s="39">
        <f t="shared" si="8"/>
        <v>41.408756400000009</v>
      </c>
      <c r="O55" s="39">
        <f t="shared" si="9"/>
        <v>0</v>
      </c>
      <c r="P55" s="717">
        <f t="shared" si="10"/>
        <v>37.552058500000001</v>
      </c>
      <c r="Q55" s="39">
        <f t="shared" si="11"/>
        <v>0</v>
      </c>
      <c r="R55" s="528"/>
    </row>
    <row r="56" spans="1:18" s="198" customFormat="1" ht="13.5" thickBot="1">
      <c r="A56" s="1006"/>
      <c r="B56" s="416"/>
      <c r="C56" s="199" t="s">
        <v>1081</v>
      </c>
      <c r="D56" s="426" t="s">
        <v>1082</v>
      </c>
      <c r="E56" s="715">
        <v>1628.26</v>
      </c>
      <c r="F56" s="38">
        <f t="shared" si="0"/>
        <v>895.54300000000012</v>
      </c>
      <c r="G56" s="41">
        <f t="shared" si="1"/>
        <v>0</v>
      </c>
      <c r="H56" s="39">
        <f t="shared" si="2"/>
        <v>28.093183910000004</v>
      </c>
      <c r="I56" s="40">
        <f t="shared" si="3"/>
        <v>0</v>
      </c>
      <c r="J56" s="39">
        <f t="shared" si="4"/>
        <v>24.537878200000005</v>
      </c>
      <c r="K56" s="40">
        <f t="shared" si="5"/>
        <v>0</v>
      </c>
      <c r="L56" s="39">
        <f t="shared" si="6"/>
        <v>20.418380400000004</v>
      </c>
      <c r="M56" s="39">
        <f t="shared" si="7"/>
        <v>0</v>
      </c>
      <c r="N56" s="39">
        <f t="shared" si="8"/>
        <v>18.269077200000005</v>
      </c>
      <c r="O56" s="39">
        <f t="shared" si="9"/>
        <v>0</v>
      </c>
      <c r="P56" s="717">
        <f t="shared" si="10"/>
        <v>16.567545500000001</v>
      </c>
      <c r="Q56" s="39">
        <f t="shared" si="11"/>
        <v>0</v>
      </c>
      <c r="R56" s="528"/>
    </row>
    <row r="57" spans="1:18" s="198" customFormat="1" ht="13.5" thickBot="1">
      <c r="A57" s="1006"/>
      <c r="B57" s="416"/>
      <c r="C57" s="199" t="s">
        <v>1198</v>
      </c>
      <c r="D57" s="426" t="s">
        <v>1279</v>
      </c>
      <c r="E57" s="715">
        <v>3942.64</v>
      </c>
      <c r="F57" s="38">
        <f t="shared" si="0"/>
        <v>2168.4520000000002</v>
      </c>
      <c r="G57" s="41">
        <f t="shared" si="1"/>
        <v>0</v>
      </c>
      <c r="H57" s="39">
        <f t="shared" si="2"/>
        <v>68.024339240000018</v>
      </c>
      <c r="I57" s="40">
        <f t="shared" si="3"/>
        <v>0</v>
      </c>
      <c r="J57" s="39">
        <f t="shared" si="4"/>
        <v>59.415584800000005</v>
      </c>
      <c r="K57" s="40">
        <f t="shared" si="5"/>
        <v>0</v>
      </c>
      <c r="L57" s="39">
        <f t="shared" si="6"/>
        <v>49.440705600000008</v>
      </c>
      <c r="M57" s="39">
        <f t="shared" si="7"/>
        <v>0</v>
      </c>
      <c r="N57" s="39">
        <f t="shared" si="8"/>
        <v>44.236420800000005</v>
      </c>
      <c r="O57" s="39">
        <f t="shared" si="9"/>
        <v>0</v>
      </c>
      <c r="P57" s="717">
        <f t="shared" si="10"/>
        <v>40.116362000000002</v>
      </c>
      <c r="Q57" s="39">
        <f t="shared" si="11"/>
        <v>0</v>
      </c>
      <c r="R57" s="528"/>
    </row>
    <row r="58" spans="1:18" s="198" customFormat="1" ht="13.5" thickBot="1">
      <c r="A58" s="1006"/>
      <c r="B58" s="416"/>
      <c r="C58" s="199" t="s">
        <v>1121</v>
      </c>
      <c r="D58" s="426" t="s">
        <v>1122</v>
      </c>
      <c r="E58" s="715">
        <v>154.84</v>
      </c>
      <c r="F58" s="38">
        <f t="shared" si="0"/>
        <v>85.162000000000006</v>
      </c>
      <c r="G58" s="41">
        <f t="shared" si="1"/>
        <v>0</v>
      </c>
      <c r="H58" s="39">
        <f t="shared" si="2"/>
        <v>2.6715319400000004</v>
      </c>
      <c r="I58" s="40">
        <f t="shared" si="3"/>
        <v>0</v>
      </c>
      <c r="J58" s="39">
        <f t="shared" si="4"/>
        <v>2.3334388000000001</v>
      </c>
      <c r="K58" s="40">
        <f t="shared" si="5"/>
        <v>0</v>
      </c>
      <c r="L58" s="39">
        <f t="shared" si="6"/>
        <v>1.9416936000000002</v>
      </c>
      <c r="M58" s="39">
        <f t="shared" si="7"/>
        <v>0</v>
      </c>
      <c r="N58" s="39">
        <f t="shared" si="8"/>
        <v>1.7373048000000002</v>
      </c>
      <c r="O58" s="39">
        <f t="shared" si="9"/>
        <v>0</v>
      </c>
      <c r="P58" s="717">
        <f t="shared" si="10"/>
        <v>1.5754969999999999</v>
      </c>
      <c r="Q58" s="39">
        <f t="shared" si="11"/>
        <v>0</v>
      </c>
      <c r="R58" s="528"/>
    </row>
    <row r="59" spans="1:18" s="198" customFormat="1" ht="13.5" thickBot="1">
      <c r="A59" s="1006"/>
      <c r="B59" s="416"/>
      <c r="C59" s="199" t="s">
        <v>1111</v>
      </c>
      <c r="D59" s="426" t="s">
        <v>1112</v>
      </c>
      <c r="E59" s="715">
        <v>142.6</v>
      </c>
      <c r="F59" s="38">
        <f t="shared" si="0"/>
        <v>78.430000000000007</v>
      </c>
      <c r="G59" s="41">
        <f t="shared" si="1"/>
        <v>0</v>
      </c>
      <c r="H59" s="39">
        <f t="shared" si="2"/>
        <v>2.4603491000000002</v>
      </c>
      <c r="I59" s="40">
        <f t="shared" si="3"/>
        <v>0</v>
      </c>
      <c r="J59" s="39">
        <f t="shared" si="4"/>
        <v>2.1489820000000002</v>
      </c>
      <c r="K59" s="40">
        <f t="shared" si="5"/>
        <v>0</v>
      </c>
      <c r="L59" s="39">
        <f t="shared" si="6"/>
        <v>1.7882040000000001</v>
      </c>
      <c r="M59" s="39">
        <f t="shared" si="7"/>
        <v>0</v>
      </c>
      <c r="N59" s="39">
        <f t="shared" si="8"/>
        <v>1.5999720000000002</v>
      </c>
      <c r="O59" s="39">
        <f t="shared" si="9"/>
        <v>0</v>
      </c>
      <c r="P59" s="717">
        <f t="shared" si="10"/>
        <v>1.450955</v>
      </c>
      <c r="Q59" s="39">
        <f t="shared" si="11"/>
        <v>0</v>
      </c>
      <c r="R59" s="528"/>
    </row>
    <row r="60" spans="1:18" s="198" customFormat="1" ht="13.5" thickBot="1">
      <c r="A60" s="1006"/>
      <c r="B60" s="416"/>
      <c r="C60" s="199" t="s">
        <v>1101</v>
      </c>
      <c r="D60" s="426" t="s">
        <v>1102</v>
      </c>
      <c r="E60" s="715">
        <v>141.21</v>
      </c>
      <c r="F60" s="38">
        <f t="shared" si="0"/>
        <v>77.665500000000009</v>
      </c>
      <c r="G60" s="41">
        <f t="shared" si="1"/>
        <v>0</v>
      </c>
      <c r="H60" s="39">
        <f t="shared" si="2"/>
        <v>2.4363667350000004</v>
      </c>
      <c r="I60" s="40">
        <f t="shared" si="3"/>
        <v>0</v>
      </c>
      <c r="J60" s="39">
        <f t="shared" si="4"/>
        <v>2.1280347000000002</v>
      </c>
      <c r="K60" s="40">
        <f t="shared" si="5"/>
        <v>0</v>
      </c>
      <c r="L60" s="39">
        <f t="shared" si="6"/>
        <v>1.7707734000000002</v>
      </c>
      <c r="M60" s="39">
        <f t="shared" si="7"/>
        <v>0</v>
      </c>
      <c r="N60" s="39">
        <f t="shared" si="8"/>
        <v>1.5843762000000003</v>
      </c>
      <c r="O60" s="39">
        <f t="shared" si="9"/>
        <v>0</v>
      </c>
      <c r="P60" s="717">
        <f t="shared" si="10"/>
        <v>1.4368117500000002</v>
      </c>
      <c r="Q60" s="39">
        <f t="shared" si="11"/>
        <v>0</v>
      </c>
      <c r="R60" s="528"/>
    </row>
    <row r="61" spans="1:18" s="198" customFormat="1" ht="13.5" thickBot="1">
      <c r="A61" s="1006"/>
      <c r="B61" s="416"/>
      <c r="C61" s="199" t="s">
        <v>1103</v>
      </c>
      <c r="D61" s="426" t="s">
        <v>1104</v>
      </c>
      <c r="E61" s="715">
        <v>122.89</v>
      </c>
      <c r="F61" s="38">
        <f t="shared" si="0"/>
        <v>67.589500000000001</v>
      </c>
      <c r="G61" s="41">
        <f t="shared" si="1"/>
        <v>0</v>
      </c>
      <c r="H61" s="39">
        <f t="shared" si="2"/>
        <v>2.1202826150000003</v>
      </c>
      <c r="I61" s="40">
        <f t="shared" si="3"/>
        <v>0</v>
      </c>
      <c r="J61" s="39">
        <f t="shared" si="4"/>
        <v>1.8519523</v>
      </c>
      <c r="K61" s="40">
        <f t="shared" si="5"/>
        <v>0</v>
      </c>
      <c r="L61" s="39">
        <f t="shared" si="6"/>
        <v>1.5410406000000001</v>
      </c>
      <c r="M61" s="39">
        <f t="shared" si="7"/>
        <v>0</v>
      </c>
      <c r="N61" s="39">
        <f t="shared" si="8"/>
        <v>1.3788258000000002</v>
      </c>
      <c r="O61" s="39">
        <f t="shared" si="9"/>
        <v>0</v>
      </c>
      <c r="P61" s="717">
        <f t="shared" si="10"/>
        <v>1.2504057499999999</v>
      </c>
      <c r="Q61" s="39">
        <f t="shared" si="11"/>
        <v>0</v>
      </c>
      <c r="R61" s="528"/>
    </row>
    <row r="62" spans="1:18" s="198" customFormat="1" ht="13.5" thickBot="1">
      <c r="A62" s="1006"/>
      <c r="B62" s="416"/>
      <c r="C62" s="199" t="s">
        <v>1113</v>
      </c>
      <c r="D62" s="426" t="s">
        <v>1114</v>
      </c>
      <c r="E62" s="715">
        <v>124.08</v>
      </c>
      <c r="F62" s="38">
        <f t="shared" si="0"/>
        <v>68.244</v>
      </c>
      <c r="G62" s="41">
        <f t="shared" si="1"/>
        <v>0</v>
      </c>
      <c r="H62" s="39">
        <f t="shared" si="2"/>
        <v>2.1408142800000003</v>
      </c>
      <c r="I62" s="40">
        <f t="shared" si="3"/>
        <v>0</v>
      </c>
      <c r="J62" s="39">
        <f t="shared" si="4"/>
        <v>1.8698856000000001</v>
      </c>
      <c r="K62" s="40">
        <f t="shared" si="5"/>
        <v>0</v>
      </c>
      <c r="L62" s="39">
        <f t="shared" si="6"/>
        <v>1.5559632000000001</v>
      </c>
      <c r="M62" s="39">
        <f t="shared" si="7"/>
        <v>0</v>
      </c>
      <c r="N62" s="39">
        <f t="shared" si="8"/>
        <v>1.3921776000000001</v>
      </c>
      <c r="O62" s="39">
        <f t="shared" si="9"/>
        <v>0</v>
      </c>
      <c r="P62" s="717">
        <f t="shared" si="10"/>
        <v>1.2625139999999999</v>
      </c>
      <c r="Q62" s="39">
        <f t="shared" si="11"/>
        <v>0</v>
      </c>
      <c r="R62" s="528"/>
    </row>
    <row r="63" spans="1:18" s="198" customFormat="1" ht="13.5" thickBot="1">
      <c r="A63" s="1006"/>
      <c r="B63" s="416"/>
      <c r="C63" s="199" t="s">
        <v>1107</v>
      </c>
      <c r="D63" s="426" t="s">
        <v>1108</v>
      </c>
      <c r="E63" s="715">
        <v>111.45</v>
      </c>
      <c r="F63" s="38">
        <f t="shared" si="0"/>
        <v>61.297500000000007</v>
      </c>
      <c r="G63" s="41">
        <f t="shared" si="1"/>
        <v>0</v>
      </c>
      <c r="H63" s="39">
        <f t="shared" si="2"/>
        <v>1.9229025750000004</v>
      </c>
      <c r="I63" s="40">
        <f t="shared" si="3"/>
        <v>0</v>
      </c>
      <c r="J63" s="39">
        <f t="shared" si="4"/>
        <v>1.6795515000000003</v>
      </c>
      <c r="K63" s="40">
        <f t="shared" si="5"/>
        <v>0</v>
      </c>
      <c r="L63" s="39">
        <f t="shared" si="6"/>
        <v>1.3975830000000002</v>
      </c>
      <c r="M63" s="39">
        <f t="shared" si="7"/>
        <v>0</v>
      </c>
      <c r="N63" s="39">
        <f t="shared" si="8"/>
        <v>1.2504690000000003</v>
      </c>
      <c r="O63" s="39">
        <f t="shared" si="9"/>
        <v>0</v>
      </c>
      <c r="P63" s="717">
        <f t="shared" si="10"/>
        <v>1.13400375</v>
      </c>
      <c r="Q63" s="39">
        <f t="shared" si="11"/>
        <v>0</v>
      </c>
      <c r="R63" s="528"/>
    </row>
    <row r="64" spans="1:18" s="198" customFormat="1" ht="13.5" thickBot="1">
      <c r="A64" s="1006"/>
      <c r="B64" s="416"/>
      <c r="C64" s="199" t="s">
        <v>1123</v>
      </c>
      <c r="D64" s="426" t="s">
        <v>1124</v>
      </c>
      <c r="E64" s="715">
        <v>134.54</v>
      </c>
      <c r="F64" s="38">
        <f t="shared" si="0"/>
        <v>73.997</v>
      </c>
      <c r="G64" s="41">
        <f t="shared" si="1"/>
        <v>0</v>
      </c>
      <c r="H64" s="39">
        <f t="shared" si="2"/>
        <v>2.32128589</v>
      </c>
      <c r="I64" s="40">
        <f t="shared" si="3"/>
        <v>0</v>
      </c>
      <c r="J64" s="39">
        <f t="shared" si="4"/>
        <v>2.0275178</v>
      </c>
      <c r="K64" s="40">
        <f t="shared" si="5"/>
        <v>0</v>
      </c>
      <c r="L64" s="39">
        <f t="shared" si="6"/>
        <v>1.6871316000000001</v>
      </c>
      <c r="M64" s="39">
        <f t="shared" si="7"/>
        <v>0</v>
      </c>
      <c r="N64" s="39">
        <f t="shared" si="8"/>
        <v>1.5095388000000001</v>
      </c>
      <c r="O64" s="39">
        <f t="shared" si="9"/>
        <v>0</v>
      </c>
      <c r="P64" s="717">
        <f t="shared" si="10"/>
        <v>1.3689445</v>
      </c>
      <c r="Q64" s="39">
        <f t="shared" si="11"/>
        <v>0</v>
      </c>
      <c r="R64" s="528"/>
    </row>
    <row r="65" spans="1:18" s="198" customFormat="1" ht="13.5" thickBot="1">
      <c r="A65" s="1006"/>
      <c r="B65" s="416"/>
      <c r="C65" s="199" t="s">
        <v>1105</v>
      </c>
      <c r="D65" s="426" t="s">
        <v>1106</v>
      </c>
      <c r="E65" s="715">
        <v>113.74</v>
      </c>
      <c r="F65" s="38">
        <f t="shared" si="0"/>
        <v>62.557000000000002</v>
      </c>
      <c r="G65" s="41">
        <f t="shared" si="1"/>
        <v>0</v>
      </c>
      <c r="H65" s="39">
        <f t="shared" si="2"/>
        <v>1.9624130900000003</v>
      </c>
      <c r="I65" s="40">
        <f t="shared" si="3"/>
        <v>0</v>
      </c>
      <c r="J65" s="39">
        <f t="shared" si="4"/>
        <v>1.7140618000000001</v>
      </c>
      <c r="K65" s="40">
        <f t="shared" si="5"/>
        <v>0</v>
      </c>
      <c r="L65" s="39">
        <f t="shared" si="6"/>
        <v>1.4262996000000001</v>
      </c>
      <c r="M65" s="39">
        <f t="shared" si="7"/>
        <v>0</v>
      </c>
      <c r="N65" s="39">
        <f t="shared" si="8"/>
        <v>1.2761628</v>
      </c>
      <c r="O65" s="39">
        <f t="shared" si="9"/>
        <v>0</v>
      </c>
      <c r="P65" s="717">
        <f t="shared" si="10"/>
        <v>1.1573045</v>
      </c>
      <c r="Q65" s="39">
        <f t="shared" si="11"/>
        <v>0</v>
      </c>
      <c r="R65" s="528"/>
    </row>
    <row r="66" spans="1:18" s="198" customFormat="1" ht="13.5" thickBot="1">
      <c r="A66" s="1006"/>
      <c r="B66" s="416"/>
      <c r="C66" s="199" t="s">
        <v>1125</v>
      </c>
      <c r="D66" s="426" t="s">
        <v>1126</v>
      </c>
      <c r="E66" s="715">
        <v>124.34</v>
      </c>
      <c r="F66" s="38">
        <f t="shared" si="0"/>
        <v>68.387</v>
      </c>
      <c r="G66" s="41">
        <f t="shared" si="1"/>
        <v>0</v>
      </c>
      <c r="H66" s="39">
        <f t="shared" si="2"/>
        <v>2.1453001899999999</v>
      </c>
      <c r="I66" s="40">
        <f t="shared" si="3"/>
        <v>0</v>
      </c>
      <c r="J66" s="39">
        <f t="shared" si="4"/>
        <v>1.8738038000000001</v>
      </c>
      <c r="K66" s="40">
        <f t="shared" si="5"/>
        <v>0</v>
      </c>
      <c r="L66" s="39">
        <f t="shared" si="6"/>
        <v>1.5592236000000002</v>
      </c>
      <c r="M66" s="39">
        <f t="shared" si="7"/>
        <v>0</v>
      </c>
      <c r="N66" s="39">
        <f t="shared" si="8"/>
        <v>1.3950948000000001</v>
      </c>
      <c r="O66" s="39">
        <f t="shared" si="9"/>
        <v>0</v>
      </c>
      <c r="P66" s="717">
        <f t="shared" si="10"/>
        <v>1.2651595</v>
      </c>
      <c r="Q66" s="39">
        <f t="shared" si="11"/>
        <v>0</v>
      </c>
      <c r="R66" s="528"/>
    </row>
    <row r="67" spans="1:18" s="198" customFormat="1" ht="13.5" thickBot="1">
      <c r="A67" s="1006"/>
      <c r="B67" s="416"/>
      <c r="C67" s="199" t="s">
        <v>1115</v>
      </c>
      <c r="D67" s="426" t="s">
        <v>1116</v>
      </c>
      <c r="E67" s="715">
        <v>118.33</v>
      </c>
      <c r="F67" s="38">
        <f t="shared" si="0"/>
        <v>65.081500000000005</v>
      </c>
      <c r="G67" s="41">
        <f t="shared" si="1"/>
        <v>0</v>
      </c>
      <c r="H67" s="39">
        <f t="shared" si="2"/>
        <v>2.0416066550000003</v>
      </c>
      <c r="I67" s="40">
        <f t="shared" si="3"/>
        <v>0</v>
      </c>
      <c r="J67" s="39">
        <f t="shared" si="4"/>
        <v>1.7832331000000001</v>
      </c>
      <c r="K67" s="40">
        <f t="shared" si="5"/>
        <v>0</v>
      </c>
      <c r="L67" s="39">
        <f t="shared" si="6"/>
        <v>1.4838582000000002</v>
      </c>
      <c r="M67" s="39">
        <f t="shared" si="7"/>
        <v>0</v>
      </c>
      <c r="N67" s="39">
        <f t="shared" si="8"/>
        <v>1.3276626000000002</v>
      </c>
      <c r="O67" s="39">
        <f t="shared" si="9"/>
        <v>0</v>
      </c>
      <c r="P67" s="717">
        <f t="shared" si="10"/>
        <v>1.2040077499999999</v>
      </c>
      <c r="Q67" s="39">
        <f t="shared" si="11"/>
        <v>0</v>
      </c>
      <c r="R67" s="528"/>
    </row>
    <row r="68" spans="1:18" s="198" customFormat="1" ht="13.5" thickBot="1">
      <c r="A68" s="1006"/>
      <c r="B68" s="416"/>
      <c r="C68" s="199" t="s">
        <v>1127</v>
      </c>
      <c r="D68" s="426" t="s">
        <v>1128</v>
      </c>
      <c r="E68" s="715">
        <v>122.49</v>
      </c>
      <c r="F68" s="38">
        <f t="shared" si="0"/>
        <v>67.369500000000002</v>
      </c>
      <c r="G68" s="41">
        <f t="shared" si="1"/>
        <v>0</v>
      </c>
      <c r="H68" s="39">
        <f t="shared" si="2"/>
        <v>2.1133812150000004</v>
      </c>
      <c r="I68" s="40">
        <f t="shared" si="3"/>
        <v>0</v>
      </c>
      <c r="J68" s="39">
        <f t="shared" si="4"/>
        <v>1.8459243000000001</v>
      </c>
      <c r="K68" s="40">
        <f t="shared" si="5"/>
        <v>0</v>
      </c>
      <c r="L68" s="39">
        <f t="shared" si="6"/>
        <v>1.5360246000000002</v>
      </c>
      <c r="M68" s="39">
        <f t="shared" si="7"/>
        <v>0</v>
      </c>
      <c r="N68" s="39">
        <f t="shared" si="8"/>
        <v>1.3743378000000002</v>
      </c>
      <c r="O68" s="39">
        <f t="shared" si="9"/>
        <v>0</v>
      </c>
      <c r="P68" s="717">
        <f t="shared" si="10"/>
        <v>1.2463357500000001</v>
      </c>
      <c r="Q68" s="39">
        <f t="shared" si="11"/>
        <v>0</v>
      </c>
      <c r="R68" s="528"/>
    </row>
    <row r="69" spans="1:18" s="198" customFormat="1" ht="13.5" thickBot="1">
      <c r="A69" s="1006"/>
      <c r="B69" s="416"/>
      <c r="C69" s="199" t="s">
        <v>1117</v>
      </c>
      <c r="D69" s="426" t="s">
        <v>1118</v>
      </c>
      <c r="E69" s="715">
        <v>115.93</v>
      </c>
      <c r="F69" s="38">
        <f t="shared" si="0"/>
        <v>63.761500000000012</v>
      </c>
      <c r="G69" s="41">
        <f t="shared" si="1"/>
        <v>0</v>
      </c>
      <c r="H69" s="39">
        <f t="shared" si="2"/>
        <v>2.0001982550000004</v>
      </c>
      <c r="I69" s="40">
        <f t="shared" si="3"/>
        <v>0</v>
      </c>
      <c r="J69" s="39">
        <f t="shared" si="4"/>
        <v>1.7470651000000004</v>
      </c>
      <c r="K69" s="40">
        <f t="shared" si="5"/>
        <v>0</v>
      </c>
      <c r="L69" s="39">
        <f t="shared" si="6"/>
        <v>1.4537622000000003</v>
      </c>
      <c r="M69" s="39">
        <f t="shared" si="7"/>
        <v>0</v>
      </c>
      <c r="N69" s="39">
        <f t="shared" si="8"/>
        <v>1.3007346000000004</v>
      </c>
      <c r="O69" s="39">
        <f t="shared" si="9"/>
        <v>0</v>
      </c>
      <c r="P69" s="717">
        <f t="shared" si="10"/>
        <v>1.1795877500000003</v>
      </c>
      <c r="Q69" s="39">
        <f t="shared" si="11"/>
        <v>0</v>
      </c>
      <c r="R69" s="528"/>
    </row>
    <row r="70" spans="1:18" s="198" customFormat="1" ht="13.5" thickBot="1">
      <c r="A70" s="1006"/>
      <c r="B70" s="416"/>
      <c r="C70" s="199" t="s">
        <v>1109</v>
      </c>
      <c r="D70" s="426" t="s">
        <v>1110</v>
      </c>
      <c r="E70" s="715">
        <v>105.33</v>
      </c>
      <c r="F70" s="38">
        <f t="shared" si="0"/>
        <v>57.931500000000007</v>
      </c>
      <c r="G70" s="41">
        <f t="shared" si="1"/>
        <v>0</v>
      </c>
      <c r="H70" s="39">
        <f t="shared" si="2"/>
        <v>1.8173111550000003</v>
      </c>
      <c r="I70" s="40">
        <f t="shared" si="3"/>
        <v>0</v>
      </c>
      <c r="J70" s="39">
        <f t="shared" si="4"/>
        <v>1.5873231000000003</v>
      </c>
      <c r="K70" s="40">
        <f t="shared" si="5"/>
        <v>0</v>
      </c>
      <c r="L70" s="39">
        <f t="shared" si="6"/>
        <v>1.3208382000000003</v>
      </c>
      <c r="M70" s="39">
        <f t="shared" si="7"/>
        <v>0</v>
      </c>
      <c r="N70" s="39">
        <f t="shared" si="8"/>
        <v>1.1818026000000001</v>
      </c>
      <c r="O70" s="39">
        <f t="shared" si="9"/>
        <v>0</v>
      </c>
      <c r="P70" s="717">
        <f t="shared" si="10"/>
        <v>1.07173275</v>
      </c>
      <c r="Q70" s="39">
        <f t="shared" si="11"/>
        <v>0</v>
      </c>
      <c r="R70" s="528"/>
    </row>
    <row r="71" spans="1:18" s="198" customFormat="1" ht="13.5" thickBot="1">
      <c r="A71" s="1006"/>
      <c r="B71" s="416"/>
      <c r="C71" s="199" t="s">
        <v>1129</v>
      </c>
      <c r="D71" s="426" t="s">
        <v>1130</v>
      </c>
      <c r="E71" s="715">
        <v>115.12</v>
      </c>
      <c r="F71" s="38">
        <f t="shared" si="0"/>
        <v>63.31600000000001</v>
      </c>
      <c r="G71" s="41">
        <f t="shared" si="1"/>
        <v>0</v>
      </c>
      <c r="H71" s="39">
        <f t="shared" si="2"/>
        <v>1.9862229200000003</v>
      </c>
      <c r="I71" s="40">
        <f t="shared" si="3"/>
        <v>0</v>
      </c>
      <c r="J71" s="39">
        <f t="shared" si="4"/>
        <v>1.7348584000000002</v>
      </c>
      <c r="K71" s="40">
        <f t="shared" si="5"/>
        <v>0</v>
      </c>
      <c r="L71" s="39">
        <f t="shared" si="6"/>
        <v>1.4436048000000004</v>
      </c>
      <c r="M71" s="39">
        <f t="shared" si="7"/>
        <v>0</v>
      </c>
      <c r="N71" s="39">
        <f t="shared" si="8"/>
        <v>1.2916464000000003</v>
      </c>
      <c r="O71" s="39">
        <f t="shared" si="9"/>
        <v>0</v>
      </c>
      <c r="P71" s="717">
        <f t="shared" si="10"/>
        <v>1.1713460000000002</v>
      </c>
      <c r="Q71" s="39">
        <f t="shared" si="11"/>
        <v>0</v>
      </c>
      <c r="R71" s="528"/>
    </row>
    <row r="72" spans="1:18" s="198" customFormat="1" ht="13.5" thickBot="1">
      <c r="A72" s="1006"/>
      <c r="B72" s="416"/>
      <c r="C72" s="709" t="s">
        <v>1119</v>
      </c>
      <c r="D72" s="199" t="s">
        <v>1120</v>
      </c>
      <c r="E72" s="715">
        <v>103.1</v>
      </c>
      <c r="F72" s="38">
        <f t="shared" si="0"/>
        <v>56.704999999999998</v>
      </c>
      <c r="G72" s="41">
        <f t="shared" si="1"/>
        <v>0</v>
      </c>
      <c r="H72" s="39">
        <f t="shared" si="2"/>
        <v>1.7788358500000001</v>
      </c>
      <c r="I72" s="40">
        <f t="shared" si="3"/>
        <v>0</v>
      </c>
      <c r="J72" s="39">
        <f t="shared" si="4"/>
        <v>1.553717</v>
      </c>
      <c r="K72" s="40">
        <f t="shared" si="5"/>
        <v>0</v>
      </c>
      <c r="L72" s="39">
        <f t="shared" si="6"/>
        <v>1.2928740000000001</v>
      </c>
      <c r="M72" s="39">
        <f t="shared" si="7"/>
        <v>0</v>
      </c>
      <c r="N72" s="39">
        <f t="shared" si="8"/>
        <v>1.156782</v>
      </c>
      <c r="O72" s="39">
        <f t="shared" si="9"/>
        <v>0</v>
      </c>
      <c r="P72" s="717">
        <f t="shared" si="10"/>
        <v>1.0490424999999999</v>
      </c>
      <c r="Q72" s="39">
        <f t="shared" si="11"/>
        <v>0</v>
      </c>
      <c r="R72" s="528"/>
    </row>
    <row r="73" spans="1:18" s="198" customFormat="1" ht="13.5" thickBot="1">
      <c r="A73" s="1006"/>
      <c r="B73" s="416"/>
      <c r="C73" s="712" t="s">
        <v>1155</v>
      </c>
      <c r="D73" s="199" t="s">
        <v>1156</v>
      </c>
      <c r="E73" s="715">
        <v>99.44</v>
      </c>
      <c r="F73" s="38">
        <f t="shared" si="0"/>
        <v>54.692</v>
      </c>
      <c r="G73" s="41">
        <f t="shared" si="1"/>
        <v>0</v>
      </c>
      <c r="H73" s="39">
        <f t="shared" si="2"/>
        <v>1.7156880400000001</v>
      </c>
      <c r="I73" s="40">
        <f t="shared" si="3"/>
        <v>0</v>
      </c>
      <c r="J73" s="39">
        <f t="shared" si="4"/>
        <v>1.4985608000000001</v>
      </c>
      <c r="K73" s="40">
        <f t="shared" si="5"/>
        <v>0</v>
      </c>
      <c r="L73" s="39">
        <f t="shared" si="6"/>
        <v>1.2469776000000001</v>
      </c>
      <c r="M73" s="39">
        <f t="shared" si="7"/>
        <v>0</v>
      </c>
      <c r="N73" s="39">
        <f t="shared" si="8"/>
        <v>1.1157168000000002</v>
      </c>
      <c r="O73" s="39">
        <f t="shared" si="9"/>
        <v>0</v>
      </c>
      <c r="P73" s="717">
        <f t="shared" si="10"/>
        <v>1.0118019999999999</v>
      </c>
      <c r="Q73" s="39">
        <f t="shared" si="11"/>
        <v>0</v>
      </c>
      <c r="R73" s="528"/>
    </row>
    <row r="74" spans="1:18" s="198" customFormat="1" ht="13.5" thickBot="1">
      <c r="A74" s="1006"/>
      <c r="B74" s="416"/>
      <c r="C74" s="202" t="s">
        <v>1157</v>
      </c>
      <c r="D74" s="426" t="s">
        <v>1158</v>
      </c>
      <c r="E74" s="715">
        <v>99.44</v>
      </c>
      <c r="F74" s="38">
        <f t="shared" si="0"/>
        <v>54.692</v>
      </c>
      <c r="G74" s="41">
        <f t="shared" si="1"/>
        <v>0</v>
      </c>
      <c r="H74" s="39">
        <f t="shared" si="2"/>
        <v>1.7156880400000001</v>
      </c>
      <c r="I74" s="40">
        <f t="shared" si="3"/>
        <v>0</v>
      </c>
      <c r="J74" s="39">
        <f t="shared" si="4"/>
        <v>1.4985608000000001</v>
      </c>
      <c r="K74" s="40">
        <f t="shared" si="5"/>
        <v>0</v>
      </c>
      <c r="L74" s="39">
        <f t="shared" si="6"/>
        <v>1.2469776000000001</v>
      </c>
      <c r="M74" s="39">
        <f t="shared" si="7"/>
        <v>0</v>
      </c>
      <c r="N74" s="39">
        <f t="shared" si="8"/>
        <v>1.1157168000000002</v>
      </c>
      <c r="O74" s="39">
        <f t="shared" si="9"/>
        <v>0</v>
      </c>
      <c r="P74" s="717">
        <f t="shared" si="10"/>
        <v>1.0118019999999999</v>
      </c>
      <c r="Q74" s="39">
        <f t="shared" si="11"/>
        <v>0</v>
      </c>
      <c r="R74" s="528"/>
    </row>
    <row r="75" spans="1:18" s="198" customFormat="1" ht="13.5" thickBot="1">
      <c r="A75" s="1006"/>
      <c r="B75" s="416"/>
      <c r="C75" s="199" t="s">
        <v>1159</v>
      </c>
      <c r="D75" s="426" t="s">
        <v>1160</v>
      </c>
      <c r="E75" s="715">
        <v>99.44</v>
      </c>
      <c r="F75" s="38">
        <f t="shared" si="0"/>
        <v>54.692</v>
      </c>
      <c r="G75" s="41">
        <f t="shared" si="1"/>
        <v>0</v>
      </c>
      <c r="H75" s="39">
        <f t="shared" si="2"/>
        <v>1.7156880400000001</v>
      </c>
      <c r="I75" s="40">
        <f t="shared" si="3"/>
        <v>0</v>
      </c>
      <c r="J75" s="39">
        <f t="shared" si="4"/>
        <v>1.4985608000000001</v>
      </c>
      <c r="K75" s="40">
        <f t="shared" si="5"/>
        <v>0</v>
      </c>
      <c r="L75" s="39">
        <f t="shared" si="6"/>
        <v>1.2469776000000001</v>
      </c>
      <c r="M75" s="39">
        <f t="shared" si="7"/>
        <v>0</v>
      </c>
      <c r="N75" s="39">
        <f t="shared" si="8"/>
        <v>1.1157168000000002</v>
      </c>
      <c r="O75" s="39">
        <f t="shared" si="9"/>
        <v>0</v>
      </c>
      <c r="P75" s="717">
        <f t="shared" si="10"/>
        <v>1.0118019999999999</v>
      </c>
      <c r="Q75" s="39">
        <f t="shared" si="11"/>
        <v>0</v>
      </c>
      <c r="R75" s="528"/>
    </row>
    <row r="76" spans="1:18" s="198" customFormat="1" ht="13.5" thickBot="1">
      <c r="A76" s="1006"/>
      <c r="B76" s="416"/>
      <c r="C76" s="199" t="s">
        <v>1199</v>
      </c>
      <c r="D76" s="426" t="s">
        <v>1200</v>
      </c>
      <c r="E76" s="715">
        <v>5966.48</v>
      </c>
      <c r="F76" s="38">
        <f t="shared" si="0"/>
        <v>3281.5639999999999</v>
      </c>
      <c r="G76" s="41">
        <f t="shared" si="1"/>
        <v>0</v>
      </c>
      <c r="H76" s="39">
        <f t="shared" si="2"/>
        <v>102.94266268</v>
      </c>
      <c r="I76" s="40">
        <f t="shared" si="3"/>
        <v>0</v>
      </c>
      <c r="J76" s="39">
        <f t="shared" si="4"/>
        <v>89.914853600000001</v>
      </c>
      <c r="K76" s="40">
        <f t="shared" si="5"/>
        <v>0</v>
      </c>
      <c r="L76" s="39">
        <f t="shared" si="6"/>
        <v>74.819659200000004</v>
      </c>
      <c r="M76" s="39">
        <f t="shared" si="7"/>
        <v>0</v>
      </c>
      <c r="N76" s="39">
        <f t="shared" si="8"/>
        <v>66.943905600000008</v>
      </c>
      <c r="O76" s="39">
        <f t="shared" si="9"/>
        <v>0</v>
      </c>
      <c r="P76" s="717">
        <f t="shared" si="10"/>
        <v>60.708933999999992</v>
      </c>
      <c r="Q76" s="39">
        <f t="shared" si="11"/>
        <v>0</v>
      </c>
      <c r="R76" s="528"/>
    </row>
    <row r="77" spans="1:18" s="198" customFormat="1" ht="13.5" thickBot="1">
      <c r="A77" s="1006"/>
      <c r="B77" s="416"/>
      <c r="C77" s="199" t="s">
        <v>1201</v>
      </c>
      <c r="D77" s="426" t="s">
        <v>1202</v>
      </c>
      <c r="E77" s="715">
        <v>21646.560000000001</v>
      </c>
      <c r="F77" s="38">
        <f t="shared" si="0"/>
        <v>11905.608000000002</v>
      </c>
      <c r="G77" s="41">
        <f t="shared" si="1"/>
        <v>0</v>
      </c>
      <c r="H77" s="39">
        <f t="shared" si="2"/>
        <v>373.47892296000009</v>
      </c>
      <c r="I77" s="40">
        <f t="shared" si="3"/>
        <v>0</v>
      </c>
      <c r="J77" s="39">
        <f t="shared" si="4"/>
        <v>326.21365920000005</v>
      </c>
      <c r="K77" s="40">
        <f t="shared" si="5"/>
        <v>0</v>
      </c>
      <c r="L77" s="39">
        <f t="shared" si="6"/>
        <v>271.44786240000008</v>
      </c>
      <c r="M77" s="39">
        <f t="shared" si="7"/>
        <v>0</v>
      </c>
      <c r="N77" s="39">
        <f t="shared" si="8"/>
        <v>242.87440320000005</v>
      </c>
      <c r="O77" s="39">
        <f t="shared" si="9"/>
        <v>0</v>
      </c>
      <c r="P77" s="717">
        <f t="shared" si="10"/>
        <v>220.25374800000003</v>
      </c>
      <c r="Q77" s="39">
        <f t="shared" si="11"/>
        <v>0</v>
      </c>
      <c r="R77" s="528"/>
    </row>
    <row r="78" spans="1:18" s="198" customFormat="1" ht="13.5" thickBot="1">
      <c r="A78" s="1006"/>
      <c r="B78" s="416"/>
      <c r="C78" s="199" t="s">
        <v>1203</v>
      </c>
      <c r="D78" s="426" t="s">
        <v>1204</v>
      </c>
      <c r="E78" s="715">
        <v>13384.8</v>
      </c>
      <c r="F78" s="38">
        <f t="shared" si="0"/>
        <v>7361.64</v>
      </c>
      <c r="G78" s="41">
        <f t="shared" si="1"/>
        <v>0</v>
      </c>
      <c r="H78" s="39">
        <f t="shared" si="2"/>
        <v>230.93464680000002</v>
      </c>
      <c r="I78" s="40">
        <f t="shared" si="3"/>
        <v>0</v>
      </c>
      <c r="J78" s="39">
        <f t="shared" si="4"/>
        <v>201.70893600000002</v>
      </c>
      <c r="K78" s="40">
        <f t="shared" si="5"/>
        <v>0</v>
      </c>
      <c r="L78" s="39">
        <f t="shared" si="6"/>
        <v>167.845392</v>
      </c>
      <c r="M78" s="39">
        <f t="shared" si="7"/>
        <v>0</v>
      </c>
      <c r="N78" s="39">
        <f t="shared" si="8"/>
        <v>150.17745600000001</v>
      </c>
      <c r="O78" s="39">
        <f t="shared" si="9"/>
        <v>0</v>
      </c>
      <c r="P78" s="717">
        <f t="shared" si="10"/>
        <v>136.19033999999999</v>
      </c>
      <c r="Q78" s="39">
        <f t="shared" si="11"/>
        <v>0</v>
      </c>
      <c r="R78" s="528"/>
    </row>
    <row r="79" spans="1:18" s="291" customFormat="1" ht="13.5" thickBot="1">
      <c r="A79" s="1006"/>
      <c r="B79" s="416"/>
      <c r="C79" s="199" t="s">
        <v>1134</v>
      </c>
      <c r="D79" s="426" t="s">
        <v>1135</v>
      </c>
      <c r="E79" s="715">
        <v>5955.04</v>
      </c>
      <c r="F79" s="38">
        <f t="shared" ref="F79:F136" si="12">E79*(1-45%)</f>
        <v>3275.2720000000004</v>
      </c>
      <c r="G79" s="41">
        <f t="shared" ref="G79:G136" si="13">F79*B79</f>
        <v>0</v>
      </c>
      <c r="H79" s="39">
        <f t="shared" ref="H79:H136" si="14">F79*0.03137</f>
        <v>102.74528264000001</v>
      </c>
      <c r="I79" s="40">
        <f t="shared" ref="I79:I136" si="15">H79*B79</f>
        <v>0</v>
      </c>
      <c r="J79" s="39">
        <f t="shared" ref="J79:J94" si="16">F79*0.0274</f>
        <v>89.742452800000009</v>
      </c>
      <c r="K79" s="40">
        <f t="shared" ref="K79:K136" si="17">J79*B79</f>
        <v>0</v>
      </c>
      <c r="L79" s="39">
        <f t="shared" ref="L79:L94" si="18">F79*0.0228</f>
        <v>74.676201600000013</v>
      </c>
      <c r="M79" s="39">
        <f t="shared" ref="M79:M136" si="19">L79*B79</f>
        <v>0</v>
      </c>
      <c r="N79" s="39">
        <f t="shared" ref="N79:N136" si="20">F79*0.0204</f>
        <v>66.815548800000016</v>
      </c>
      <c r="O79" s="39">
        <f t="shared" ref="O79:O136" si="21">N79*B79</f>
        <v>0</v>
      </c>
      <c r="P79" s="717">
        <f t="shared" ref="P79:P136" si="22">F79*0.0185</f>
        <v>60.592532000000006</v>
      </c>
      <c r="Q79" s="39">
        <f t="shared" ref="Q79:Q136" si="23">P79*B79</f>
        <v>0</v>
      </c>
      <c r="R79" s="528"/>
    </row>
    <row r="80" spans="1:18" s="198" customFormat="1" ht="13.5" thickBot="1">
      <c r="A80" s="1006"/>
      <c r="B80" s="416"/>
      <c r="C80" s="199" t="s">
        <v>1205</v>
      </c>
      <c r="D80" s="426" t="s">
        <v>1404</v>
      </c>
      <c r="E80" s="715">
        <v>6756.88</v>
      </c>
      <c r="F80" s="38">
        <f t="shared" si="12"/>
        <v>3716.2840000000006</v>
      </c>
      <c r="G80" s="41">
        <f t="shared" si="13"/>
        <v>0</v>
      </c>
      <c r="H80" s="39">
        <f t="shared" si="14"/>
        <v>116.57982908000002</v>
      </c>
      <c r="I80" s="40">
        <f t="shared" si="15"/>
        <v>0</v>
      </c>
      <c r="J80" s="39">
        <f t="shared" si="16"/>
        <v>101.82618160000001</v>
      </c>
      <c r="K80" s="40">
        <f t="shared" si="17"/>
        <v>0</v>
      </c>
      <c r="L80" s="39">
        <f t="shared" si="18"/>
        <v>84.731275200000013</v>
      </c>
      <c r="M80" s="39">
        <f t="shared" si="19"/>
        <v>0</v>
      </c>
      <c r="N80" s="39">
        <f t="shared" si="20"/>
        <v>75.812193600000015</v>
      </c>
      <c r="O80" s="39">
        <f t="shared" si="21"/>
        <v>0</v>
      </c>
      <c r="P80" s="717">
        <f t="shared" si="22"/>
        <v>68.751254000000003</v>
      </c>
      <c r="Q80" s="39">
        <f t="shared" si="23"/>
        <v>0</v>
      </c>
      <c r="R80" s="528"/>
    </row>
    <row r="81" spans="1:18" s="198" customFormat="1" ht="13.5" thickBot="1">
      <c r="A81" s="1006"/>
      <c r="B81" s="416"/>
      <c r="C81" s="199" t="s">
        <v>1167</v>
      </c>
      <c r="D81" s="426" t="s">
        <v>1168</v>
      </c>
      <c r="E81" s="715">
        <v>24604.13</v>
      </c>
      <c r="F81" s="38">
        <f t="shared" si="12"/>
        <v>13532.271500000003</v>
      </c>
      <c r="G81" s="41">
        <f t="shared" si="13"/>
        <v>0</v>
      </c>
      <c r="H81" s="39">
        <f t="shared" si="14"/>
        <v>424.50735695500009</v>
      </c>
      <c r="I81" s="40">
        <f t="shared" si="15"/>
        <v>0</v>
      </c>
      <c r="J81" s="39">
        <f t="shared" si="16"/>
        <v>370.78423910000009</v>
      </c>
      <c r="K81" s="40">
        <f t="shared" si="17"/>
        <v>0</v>
      </c>
      <c r="L81" s="39">
        <f t="shared" si="18"/>
        <v>308.53579020000006</v>
      </c>
      <c r="M81" s="39">
        <f t="shared" si="19"/>
        <v>0</v>
      </c>
      <c r="N81" s="39">
        <f t="shared" si="20"/>
        <v>276.05833860000007</v>
      </c>
      <c r="O81" s="39">
        <f t="shared" si="21"/>
        <v>0</v>
      </c>
      <c r="P81" s="717">
        <f t="shared" si="22"/>
        <v>250.34702275000004</v>
      </c>
      <c r="Q81" s="39">
        <f t="shared" si="23"/>
        <v>0</v>
      </c>
      <c r="R81" s="528"/>
    </row>
    <row r="82" spans="1:18" s="198" customFormat="1" ht="13.5" thickBot="1">
      <c r="A82" s="1006"/>
      <c r="B82" s="416"/>
      <c r="C82" s="199">
        <v>7723000</v>
      </c>
      <c r="D82" s="426" t="s">
        <v>1131</v>
      </c>
      <c r="E82" s="715">
        <v>50817.919999999998</v>
      </c>
      <c r="F82" s="38">
        <f t="shared" si="12"/>
        <v>27949.856</v>
      </c>
      <c r="G82" s="41">
        <f t="shared" si="13"/>
        <v>0</v>
      </c>
      <c r="H82" s="39">
        <f t="shared" si="14"/>
        <v>876.78698272000008</v>
      </c>
      <c r="I82" s="40">
        <f t="shared" si="15"/>
        <v>0</v>
      </c>
      <c r="J82" s="39">
        <f t="shared" si="16"/>
        <v>765.82605439999998</v>
      </c>
      <c r="K82" s="40">
        <f t="shared" si="17"/>
        <v>0</v>
      </c>
      <c r="L82" s="39">
        <f t="shared" si="18"/>
        <v>637.25671680000005</v>
      </c>
      <c r="M82" s="39">
        <f t="shared" si="19"/>
        <v>0</v>
      </c>
      <c r="N82" s="39">
        <f t="shared" si="20"/>
        <v>570.17706240000007</v>
      </c>
      <c r="O82" s="39">
        <f t="shared" si="21"/>
        <v>0</v>
      </c>
      <c r="P82" s="717">
        <f t="shared" si="22"/>
        <v>517.07233599999995</v>
      </c>
      <c r="Q82" s="39">
        <f t="shared" si="23"/>
        <v>0</v>
      </c>
      <c r="R82" s="528"/>
    </row>
    <row r="83" spans="1:18" s="198" customFormat="1" ht="13.5" thickBot="1">
      <c r="A83" s="1006"/>
      <c r="B83" s="416"/>
      <c r="C83" s="199" t="s">
        <v>1207</v>
      </c>
      <c r="D83" s="426" t="s">
        <v>1208</v>
      </c>
      <c r="E83" s="715">
        <v>1761.76</v>
      </c>
      <c r="F83" s="38">
        <f t="shared" si="12"/>
        <v>968.96800000000007</v>
      </c>
      <c r="G83" s="41">
        <f t="shared" si="13"/>
        <v>0</v>
      </c>
      <c r="H83" s="39">
        <f t="shared" si="14"/>
        <v>30.396526160000004</v>
      </c>
      <c r="I83" s="40">
        <f t="shared" si="15"/>
        <v>0</v>
      </c>
      <c r="J83" s="39">
        <f t="shared" si="16"/>
        <v>26.549723200000003</v>
      </c>
      <c r="K83" s="40">
        <f t="shared" si="17"/>
        <v>0</v>
      </c>
      <c r="L83" s="39">
        <f t="shared" si="18"/>
        <v>22.092470400000003</v>
      </c>
      <c r="M83" s="39">
        <f t="shared" si="19"/>
        <v>0</v>
      </c>
      <c r="N83" s="39">
        <f t="shared" si="20"/>
        <v>19.766947200000004</v>
      </c>
      <c r="O83" s="39">
        <f t="shared" si="21"/>
        <v>0</v>
      </c>
      <c r="P83" s="717">
        <f t="shared" si="22"/>
        <v>17.925908</v>
      </c>
      <c r="Q83" s="39">
        <f t="shared" si="23"/>
        <v>0</v>
      </c>
      <c r="R83" s="528"/>
    </row>
    <row r="84" spans="1:18" s="198" customFormat="1" ht="13.5" thickBot="1">
      <c r="A84" s="1006"/>
      <c r="B84" s="416"/>
      <c r="C84" s="199" t="s">
        <v>1148</v>
      </c>
      <c r="D84" s="426" t="s">
        <v>1149</v>
      </c>
      <c r="E84" s="715">
        <v>12126.4</v>
      </c>
      <c r="F84" s="38">
        <f t="shared" si="12"/>
        <v>6669.52</v>
      </c>
      <c r="G84" s="41">
        <f t="shared" si="13"/>
        <v>0</v>
      </c>
      <c r="H84" s="39">
        <f t="shared" si="14"/>
        <v>209.22284240000002</v>
      </c>
      <c r="I84" s="40">
        <f t="shared" si="15"/>
        <v>0</v>
      </c>
      <c r="J84" s="39">
        <f t="shared" si="16"/>
        <v>182.74484800000002</v>
      </c>
      <c r="K84" s="40">
        <f t="shared" si="17"/>
        <v>0</v>
      </c>
      <c r="L84" s="39">
        <f t="shared" si="18"/>
        <v>152.06505600000003</v>
      </c>
      <c r="M84" s="39">
        <f t="shared" si="19"/>
        <v>0</v>
      </c>
      <c r="N84" s="39">
        <f t="shared" si="20"/>
        <v>136.05820800000001</v>
      </c>
      <c r="O84" s="39">
        <f t="shared" si="21"/>
        <v>0</v>
      </c>
      <c r="P84" s="717">
        <f t="shared" si="22"/>
        <v>123.38612000000001</v>
      </c>
      <c r="Q84" s="39">
        <f t="shared" si="23"/>
        <v>0</v>
      </c>
      <c r="R84" s="528"/>
    </row>
    <row r="85" spans="1:18" s="519" customFormat="1" ht="13.5" customHeight="1" thickBot="1">
      <c r="A85" s="1006"/>
      <c r="B85" s="416"/>
      <c r="C85" s="199" t="s">
        <v>1209</v>
      </c>
      <c r="D85" s="426" t="s">
        <v>1210</v>
      </c>
      <c r="E85" s="715">
        <v>2668.64</v>
      </c>
      <c r="F85" s="38">
        <f t="shared" si="12"/>
        <v>1467.752</v>
      </c>
      <c r="G85" s="41">
        <f t="shared" si="13"/>
        <v>0</v>
      </c>
      <c r="H85" s="39">
        <f t="shared" si="14"/>
        <v>46.043380240000005</v>
      </c>
      <c r="I85" s="40">
        <f t="shared" si="15"/>
        <v>0</v>
      </c>
      <c r="J85" s="39">
        <f t="shared" si="16"/>
        <v>40.216404799999999</v>
      </c>
      <c r="K85" s="40">
        <f t="shared" si="17"/>
        <v>0</v>
      </c>
      <c r="L85" s="39">
        <f t="shared" si="18"/>
        <v>33.464745600000001</v>
      </c>
      <c r="M85" s="39">
        <f t="shared" si="19"/>
        <v>0</v>
      </c>
      <c r="N85" s="39">
        <f t="shared" si="20"/>
        <v>29.942140800000001</v>
      </c>
      <c r="O85" s="39">
        <f t="shared" si="21"/>
        <v>0</v>
      </c>
      <c r="P85" s="717">
        <f t="shared" si="22"/>
        <v>27.153411999999999</v>
      </c>
      <c r="Q85" s="39">
        <f t="shared" si="23"/>
        <v>0</v>
      </c>
      <c r="R85" s="528"/>
    </row>
    <row r="86" spans="1:18" s="291" customFormat="1" ht="13.5" thickBot="1">
      <c r="A86" s="1006"/>
      <c r="B86" s="416"/>
      <c r="C86" s="199" t="s">
        <v>1211</v>
      </c>
      <c r="D86" s="426" t="s">
        <v>1212</v>
      </c>
      <c r="E86" s="715">
        <v>5200</v>
      </c>
      <c r="F86" s="38">
        <f t="shared" si="12"/>
        <v>2860.0000000000005</v>
      </c>
      <c r="G86" s="41">
        <f t="shared" si="13"/>
        <v>0</v>
      </c>
      <c r="H86" s="39">
        <f t="shared" si="14"/>
        <v>89.718200000000024</v>
      </c>
      <c r="I86" s="40">
        <f t="shared" si="15"/>
        <v>0</v>
      </c>
      <c r="J86" s="39">
        <f t="shared" si="16"/>
        <v>78.364000000000019</v>
      </c>
      <c r="K86" s="40">
        <f t="shared" si="17"/>
        <v>0</v>
      </c>
      <c r="L86" s="39">
        <f t="shared" si="18"/>
        <v>65.208000000000013</v>
      </c>
      <c r="M86" s="39">
        <f t="shared" si="19"/>
        <v>0</v>
      </c>
      <c r="N86" s="39">
        <f t="shared" si="20"/>
        <v>58.344000000000015</v>
      </c>
      <c r="O86" s="39">
        <f t="shared" si="21"/>
        <v>0</v>
      </c>
      <c r="P86" s="717">
        <f t="shared" si="22"/>
        <v>52.910000000000004</v>
      </c>
      <c r="Q86" s="39">
        <f t="shared" si="23"/>
        <v>0</v>
      </c>
      <c r="R86" s="528"/>
    </row>
    <row r="87" spans="1:18" s="291" customFormat="1" ht="30.6" customHeight="1" thickBot="1">
      <c r="A87" s="1006"/>
      <c r="B87" s="416"/>
      <c r="C87" s="696" t="s">
        <v>1213</v>
      </c>
      <c r="D87" s="426" t="s">
        <v>1214</v>
      </c>
      <c r="E87" s="715">
        <v>5200</v>
      </c>
      <c r="F87" s="38">
        <f t="shared" si="12"/>
        <v>2860.0000000000005</v>
      </c>
      <c r="G87" s="41">
        <f t="shared" si="13"/>
        <v>0</v>
      </c>
      <c r="H87" s="39">
        <f t="shared" si="14"/>
        <v>89.718200000000024</v>
      </c>
      <c r="I87" s="40">
        <f t="shared" si="15"/>
        <v>0</v>
      </c>
      <c r="J87" s="39">
        <f t="shared" si="16"/>
        <v>78.364000000000019</v>
      </c>
      <c r="K87" s="40">
        <f t="shared" si="17"/>
        <v>0</v>
      </c>
      <c r="L87" s="39">
        <f t="shared" si="18"/>
        <v>65.208000000000013</v>
      </c>
      <c r="M87" s="39">
        <f t="shared" si="19"/>
        <v>0</v>
      </c>
      <c r="N87" s="39">
        <f t="shared" si="20"/>
        <v>58.344000000000015</v>
      </c>
      <c r="O87" s="39">
        <f t="shared" si="21"/>
        <v>0</v>
      </c>
      <c r="P87" s="717">
        <f t="shared" si="22"/>
        <v>52.910000000000004</v>
      </c>
      <c r="Q87" s="39">
        <f t="shared" si="23"/>
        <v>0</v>
      </c>
      <c r="R87" s="528"/>
    </row>
    <row r="88" spans="1:18" s="291" customFormat="1" ht="28.15" customHeight="1" thickBot="1">
      <c r="A88" s="1006"/>
      <c r="B88" s="416"/>
      <c r="C88" s="199" t="s">
        <v>1215</v>
      </c>
      <c r="D88" s="426" t="s">
        <v>1216</v>
      </c>
      <c r="E88" s="715">
        <v>9995</v>
      </c>
      <c r="F88" s="38">
        <f t="shared" si="12"/>
        <v>5497.25</v>
      </c>
      <c r="G88" s="41">
        <f t="shared" si="13"/>
        <v>0</v>
      </c>
      <c r="H88" s="39">
        <f t="shared" si="14"/>
        <v>172.44873250000001</v>
      </c>
      <c r="I88" s="40">
        <f t="shared" si="15"/>
        <v>0</v>
      </c>
      <c r="J88" s="39">
        <f t="shared" si="16"/>
        <v>150.62465</v>
      </c>
      <c r="K88" s="40">
        <f t="shared" si="17"/>
        <v>0</v>
      </c>
      <c r="L88" s="39">
        <f t="shared" si="18"/>
        <v>125.3373</v>
      </c>
      <c r="M88" s="39">
        <f t="shared" si="19"/>
        <v>0</v>
      </c>
      <c r="N88" s="39">
        <f t="shared" si="20"/>
        <v>112.1439</v>
      </c>
      <c r="O88" s="39">
        <f t="shared" si="21"/>
        <v>0</v>
      </c>
      <c r="P88" s="717">
        <f t="shared" si="22"/>
        <v>101.699125</v>
      </c>
      <c r="Q88" s="39">
        <f t="shared" si="23"/>
        <v>0</v>
      </c>
      <c r="R88" s="528"/>
    </row>
    <row r="89" spans="1:18" s="291" customFormat="1" ht="13.5" thickBot="1">
      <c r="A89" s="1006"/>
      <c r="B89" s="416"/>
      <c r="C89" s="712" t="s">
        <v>1217</v>
      </c>
      <c r="D89" s="199" t="s">
        <v>1218</v>
      </c>
      <c r="E89" s="715">
        <v>21275</v>
      </c>
      <c r="F89" s="38">
        <f t="shared" si="12"/>
        <v>11701.250000000002</v>
      </c>
      <c r="G89" s="41">
        <f t="shared" si="13"/>
        <v>0</v>
      </c>
      <c r="H89" s="39">
        <f t="shared" si="14"/>
        <v>367.06821250000007</v>
      </c>
      <c r="I89" s="40">
        <f t="shared" si="15"/>
        <v>0</v>
      </c>
      <c r="J89" s="39">
        <f t="shared" si="16"/>
        <v>320.61425000000008</v>
      </c>
      <c r="K89" s="40">
        <f t="shared" si="17"/>
        <v>0</v>
      </c>
      <c r="L89" s="39">
        <f t="shared" si="18"/>
        <v>266.78850000000006</v>
      </c>
      <c r="M89" s="39">
        <f t="shared" si="19"/>
        <v>0</v>
      </c>
      <c r="N89" s="39">
        <f t="shared" si="20"/>
        <v>238.70550000000006</v>
      </c>
      <c r="O89" s="39">
        <f t="shared" si="21"/>
        <v>0</v>
      </c>
      <c r="P89" s="717">
        <f t="shared" si="22"/>
        <v>216.47312500000001</v>
      </c>
      <c r="Q89" s="39">
        <f t="shared" si="23"/>
        <v>0</v>
      </c>
      <c r="R89" s="528"/>
    </row>
    <row r="90" spans="1:18" s="291" customFormat="1" ht="13.5" thickBot="1">
      <c r="A90" s="1006"/>
      <c r="B90" s="416"/>
      <c r="C90" s="712" t="s">
        <v>1153</v>
      </c>
      <c r="D90" s="199" t="s">
        <v>3958</v>
      </c>
      <c r="E90" s="715">
        <v>1784.64</v>
      </c>
      <c r="F90" s="38">
        <f t="shared" si="12"/>
        <v>981.55200000000013</v>
      </c>
      <c r="G90" s="41">
        <f t="shared" si="13"/>
        <v>0</v>
      </c>
      <c r="H90" s="39">
        <f t="shared" si="14"/>
        <v>30.791286240000005</v>
      </c>
      <c r="I90" s="40">
        <f t="shared" si="15"/>
        <v>0</v>
      </c>
      <c r="J90" s="39">
        <f t="shared" si="16"/>
        <v>26.894524800000003</v>
      </c>
      <c r="K90" s="40">
        <f t="shared" si="17"/>
        <v>0</v>
      </c>
      <c r="L90" s="39">
        <f t="shared" si="18"/>
        <v>22.379385600000003</v>
      </c>
      <c r="M90" s="39">
        <f t="shared" si="19"/>
        <v>0</v>
      </c>
      <c r="N90" s="39">
        <f t="shared" si="20"/>
        <v>20.023660800000005</v>
      </c>
      <c r="O90" s="39">
        <f t="shared" si="21"/>
        <v>0</v>
      </c>
      <c r="P90" s="717">
        <f t="shared" si="22"/>
        <v>18.158712000000001</v>
      </c>
      <c r="Q90" s="39">
        <f t="shared" si="23"/>
        <v>0</v>
      </c>
      <c r="R90" s="528"/>
    </row>
    <row r="91" spans="1:18" s="291" customFormat="1" ht="13.5" thickBot="1">
      <c r="A91" s="1006"/>
      <c r="B91" s="416"/>
      <c r="C91" s="199" t="s">
        <v>1219</v>
      </c>
      <c r="D91" s="426" t="s">
        <v>1220</v>
      </c>
      <c r="E91" s="715">
        <v>20592</v>
      </c>
      <c r="F91" s="38">
        <f t="shared" si="12"/>
        <v>11325.6</v>
      </c>
      <c r="G91" s="41">
        <f t="shared" si="13"/>
        <v>0</v>
      </c>
      <c r="H91" s="39">
        <f t="shared" si="14"/>
        <v>355.28407200000004</v>
      </c>
      <c r="I91" s="40">
        <f t="shared" si="15"/>
        <v>0</v>
      </c>
      <c r="J91" s="39">
        <f t="shared" si="16"/>
        <v>310.32144</v>
      </c>
      <c r="K91" s="40">
        <f t="shared" si="17"/>
        <v>0</v>
      </c>
      <c r="L91" s="39">
        <f t="shared" si="18"/>
        <v>258.22368</v>
      </c>
      <c r="M91" s="39">
        <f t="shared" si="19"/>
        <v>0</v>
      </c>
      <c r="N91" s="39">
        <f t="shared" si="20"/>
        <v>231.04224000000002</v>
      </c>
      <c r="O91" s="39">
        <f t="shared" si="21"/>
        <v>0</v>
      </c>
      <c r="P91" s="717">
        <f t="shared" si="22"/>
        <v>209.52359999999999</v>
      </c>
      <c r="Q91" s="39">
        <f t="shared" si="23"/>
        <v>0</v>
      </c>
      <c r="R91" s="528"/>
    </row>
    <row r="92" spans="1:18" s="198" customFormat="1" ht="13.5" thickBot="1">
      <c r="A92" s="1006"/>
      <c r="B92" s="416"/>
      <c r="C92" s="202" t="s">
        <v>1221</v>
      </c>
      <c r="D92" s="426" t="s">
        <v>1222</v>
      </c>
      <c r="E92" s="715">
        <v>1281.28</v>
      </c>
      <c r="F92" s="38">
        <f t="shared" si="12"/>
        <v>704.70400000000006</v>
      </c>
      <c r="G92" s="41">
        <f t="shared" si="13"/>
        <v>0</v>
      </c>
      <c r="H92" s="39">
        <f t="shared" si="14"/>
        <v>22.106564480000003</v>
      </c>
      <c r="I92" s="40">
        <f t="shared" si="15"/>
        <v>0</v>
      </c>
      <c r="J92" s="39">
        <f t="shared" si="16"/>
        <v>19.308889600000001</v>
      </c>
      <c r="K92" s="40">
        <f t="shared" si="17"/>
        <v>0</v>
      </c>
      <c r="L92" s="39">
        <f t="shared" si="18"/>
        <v>16.067251200000001</v>
      </c>
      <c r="M92" s="39">
        <f t="shared" si="19"/>
        <v>0</v>
      </c>
      <c r="N92" s="39">
        <f t="shared" si="20"/>
        <v>14.375961600000002</v>
      </c>
      <c r="O92" s="39">
        <f t="shared" si="21"/>
        <v>0</v>
      </c>
      <c r="P92" s="717">
        <f t="shared" si="22"/>
        <v>13.037024000000001</v>
      </c>
      <c r="Q92" s="39">
        <f t="shared" si="23"/>
        <v>0</v>
      </c>
      <c r="R92" s="528"/>
    </row>
    <row r="93" spans="1:18" s="198" customFormat="1" ht="13.5" thickBot="1">
      <c r="A93" s="1006"/>
      <c r="B93" s="416"/>
      <c r="C93" s="199" t="s">
        <v>1223</v>
      </c>
      <c r="D93" s="426" t="s">
        <v>1224</v>
      </c>
      <c r="E93" s="715">
        <v>1019.2</v>
      </c>
      <c r="F93" s="38">
        <f t="shared" si="12"/>
        <v>560.56000000000006</v>
      </c>
      <c r="G93" s="41">
        <f t="shared" si="13"/>
        <v>0</v>
      </c>
      <c r="H93" s="39">
        <f t="shared" si="14"/>
        <v>17.584767200000002</v>
      </c>
      <c r="I93" s="40">
        <f t="shared" si="15"/>
        <v>0</v>
      </c>
      <c r="J93" s="39">
        <f t="shared" si="16"/>
        <v>15.359344000000002</v>
      </c>
      <c r="K93" s="40">
        <f t="shared" si="17"/>
        <v>0</v>
      </c>
      <c r="L93" s="39">
        <f t="shared" si="18"/>
        <v>12.780768000000002</v>
      </c>
      <c r="M93" s="39">
        <f t="shared" si="19"/>
        <v>0</v>
      </c>
      <c r="N93" s="39">
        <f t="shared" si="20"/>
        <v>11.435424000000001</v>
      </c>
      <c r="O93" s="39">
        <f t="shared" si="21"/>
        <v>0</v>
      </c>
      <c r="P93" s="717">
        <f t="shared" si="22"/>
        <v>10.37036</v>
      </c>
      <c r="Q93" s="39">
        <f t="shared" si="23"/>
        <v>0</v>
      </c>
      <c r="R93" s="528"/>
    </row>
    <row r="94" spans="1:18" s="291" customFormat="1" ht="13.5" thickBot="1">
      <c r="A94" s="1006"/>
      <c r="B94" s="416"/>
      <c r="C94" s="199" t="s">
        <v>1225</v>
      </c>
      <c r="D94" s="426" t="s">
        <v>1226</v>
      </c>
      <c r="E94" s="715">
        <v>23968.880000000001</v>
      </c>
      <c r="F94" s="38">
        <f t="shared" si="12"/>
        <v>13182.884000000002</v>
      </c>
      <c r="G94" s="41">
        <f t="shared" si="13"/>
        <v>0</v>
      </c>
      <c r="H94" s="39">
        <f t="shared" si="14"/>
        <v>413.54707108000008</v>
      </c>
      <c r="I94" s="40">
        <f t="shared" si="15"/>
        <v>0</v>
      </c>
      <c r="J94" s="39">
        <f t="shared" si="16"/>
        <v>361.21102160000004</v>
      </c>
      <c r="K94" s="40">
        <f t="shared" si="17"/>
        <v>0</v>
      </c>
      <c r="L94" s="39">
        <f t="shared" si="18"/>
        <v>300.56975520000003</v>
      </c>
      <c r="M94" s="39">
        <f t="shared" si="19"/>
        <v>0</v>
      </c>
      <c r="N94" s="39">
        <f t="shared" si="20"/>
        <v>268.93083360000008</v>
      </c>
      <c r="O94" s="39">
        <f t="shared" si="21"/>
        <v>0</v>
      </c>
      <c r="P94" s="717">
        <f t="shared" si="22"/>
        <v>243.88335400000003</v>
      </c>
      <c r="Q94" s="39">
        <f t="shared" si="23"/>
        <v>0</v>
      </c>
      <c r="R94" s="528"/>
    </row>
    <row r="95" spans="1:18" s="291" customFormat="1" ht="13.5" thickBot="1">
      <c r="A95" s="1006"/>
      <c r="B95" s="416"/>
      <c r="C95" s="199" t="s">
        <v>3959</v>
      </c>
      <c r="D95" s="426" t="s">
        <v>3960</v>
      </c>
      <c r="E95" s="715">
        <v>12000</v>
      </c>
      <c r="F95" s="38">
        <f t="shared" si="12"/>
        <v>6600.0000000000009</v>
      </c>
      <c r="G95" s="41">
        <f t="shared" si="13"/>
        <v>0</v>
      </c>
      <c r="H95" s="39">
        <f t="shared" si="14"/>
        <v>207.04200000000003</v>
      </c>
      <c r="I95" s="40">
        <f t="shared" si="15"/>
        <v>0</v>
      </c>
      <c r="J95" s="39">
        <f>F95*0.02564</f>
        <v>169.22400000000002</v>
      </c>
      <c r="K95" s="40">
        <f t="shared" si="17"/>
        <v>0</v>
      </c>
      <c r="L95" s="39">
        <f>F95*0.0256</f>
        <v>168.96000000000004</v>
      </c>
      <c r="M95" s="39">
        <f t="shared" si="19"/>
        <v>0</v>
      </c>
      <c r="N95" s="39">
        <f t="shared" si="20"/>
        <v>134.64000000000001</v>
      </c>
      <c r="O95" s="39">
        <f t="shared" si="21"/>
        <v>0</v>
      </c>
      <c r="P95" s="717">
        <f t="shared" si="22"/>
        <v>122.10000000000001</v>
      </c>
      <c r="Q95" s="39">
        <f t="shared" si="23"/>
        <v>0</v>
      </c>
      <c r="R95" s="528"/>
    </row>
    <row r="96" spans="1:18" s="291" customFormat="1" ht="13.5" thickBot="1">
      <c r="A96" s="1006"/>
      <c r="B96" s="416"/>
      <c r="C96" s="427" t="s">
        <v>1227</v>
      </c>
      <c r="D96" s="426" t="s">
        <v>1228</v>
      </c>
      <c r="E96" s="715">
        <v>18000</v>
      </c>
      <c r="F96" s="38">
        <f t="shared" si="12"/>
        <v>9900</v>
      </c>
      <c r="G96" s="41">
        <f t="shared" si="13"/>
        <v>0</v>
      </c>
      <c r="H96" s="39">
        <f t="shared" si="14"/>
        <v>310.56300000000005</v>
      </c>
      <c r="I96" s="40">
        <f t="shared" si="15"/>
        <v>0</v>
      </c>
      <c r="J96" s="39">
        <f t="shared" ref="J96:J119" si="24">F96*0.0274</f>
        <v>271.26</v>
      </c>
      <c r="K96" s="40">
        <f t="shared" si="17"/>
        <v>0</v>
      </c>
      <c r="L96" s="39">
        <f t="shared" ref="L96:L136" si="25">F96*0.0228</f>
        <v>225.72</v>
      </c>
      <c r="M96" s="39">
        <f t="shared" si="19"/>
        <v>0</v>
      </c>
      <c r="N96" s="39">
        <f t="shared" si="20"/>
        <v>201.96</v>
      </c>
      <c r="O96" s="39">
        <f t="shared" si="21"/>
        <v>0</v>
      </c>
      <c r="P96" s="717">
        <f t="shared" si="22"/>
        <v>183.14999999999998</v>
      </c>
      <c r="Q96" s="39">
        <f t="shared" si="23"/>
        <v>0</v>
      </c>
      <c r="R96" s="528"/>
    </row>
    <row r="97" spans="1:18" s="198" customFormat="1" ht="13.5" thickBot="1">
      <c r="A97" s="1006"/>
      <c r="B97" s="416"/>
      <c r="C97" s="199" t="s">
        <v>1138</v>
      </c>
      <c r="D97" s="426" t="s">
        <v>1139</v>
      </c>
      <c r="E97" s="715">
        <v>509.6</v>
      </c>
      <c r="F97" s="38">
        <f t="shared" si="12"/>
        <v>280.28000000000003</v>
      </c>
      <c r="G97" s="41">
        <f t="shared" si="13"/>
        <v>0</v>
      </c>
      <c r="H97" s="39">
        <f t="shared" si="14"/>
        <v>8.7923836000000009</v>
      </c>
      <c r="I97" s="40">
        <f t="shared" si="15"/>
        <v>0</v>
      </c>
      <c r="J97" s="39">
        <f t="shared" si="24"/>
        <v>7.6796720000000009</v>
      </c>
      <c r="K97" s="40">
        <f t="shared" si="17"/>
        <v>0</v>
      </c>
      <c r="L97" s="39">
        <f t="shared" si="25"/>
        <v>6.390384000000001</v>
      </c>
      <c r="M97" s="39">
        <f t="shared" si="19"/>
        <v>0</v>
      </c>
      <c r="N97" s="39">
        <f t="shared" si="20"/>
        <v>5.7177120000000006</v>
      </c>
      <c r="O97" s="39">
        <f t="shared" si="21"/>
        <v>0</v>
      </c>
      <c r="P97" s="717">
        <f t="shared" si="22"/>
        <v>5.1851799999999999</v>
      </c>
      <c r="Q97" s="39">
        <f t="shared" si="23"/>
        <v>0</v>
      </c>
      <c r="R97" s="528"/>
    </row>
    <row r="98" spans="1:18" s="198" customFormat="1" ht="13.5" thickBot="1">
      <c r="A98" s="1006"/>
      <c r="B98" s="416"/>
      <c r="C98" s="709" t="s">
        <v>1142</v>
      </c>
      <c r="D98" s="199" t="s">
        <v>1143</v>
      </c>
      <c r="E98" s="715">
        <v>1630.72</v>
      </c>
      <c r="F98" s="38">
        <f t="shared" si="12"/>
        <v>896.89600000000007</v>
      </c>
      <c r="G98" s="41">
        <f t="shared" si="13"/>
        <v>0</v>
      </c>
      <c r="H98" s="39">
        <f t="shared" si="14"/>
        <v>28.135627520000003</v>
      </c>
      <c r="I98" s="40">
        <f t="shared" si="15"/>
        <v>0</v>
      </c>
      <c r="J98" s="39">
        <f t="shared" si="24"/>
        <v>24.574950400000002</v>
      </c>
      <c r="K98" s="40">
        <f t="shared" si="17"/>
        <v>0</v>
      </c>
      <c r="L98" s="39">
        <f t="shared" si="25"/>
        <v>20.449228800000004</v>
      </c>
      <c r="M98" s="39">
        <f t="shared" si="19"/>
        <v>0</v>
      </c>
      <c r="N98" s="39">
        <f t="shared" si="20"/>
        <v>18.296678400000001</v>
      </c>
      <c r="O98" s="39">
        <f t="shared" si="21"/>
        <v>0</v>
      </c>
      <c r="P98" s="717">
        <f t="shared" si="22"/>
        <v>16.592576000000001</v>
      </c>
      <c r="Q98" s="39">
        <f t="shared" si="23"/>
        <v>0</v>
      </c>
      <c r="R98" s="528"/>
    </row>
    <row r="99" spans="1:18" s="198" customFormat="1" ht="13.5" thickBot="1">
      <c r="A99" s="1006"/>
      <c r="B99" s="416"/>
      <c r="C99" s="712" t="s">
        <v>1229</v>
      </c>
      <c r="D99" s="199" t="s">
        <v>1230</v>
      </c>
      <c r="E99" s="715">
        <v>3840.72</v>
      </c>
      <c r="F99" s="38">
        <f t="shared" si="12"/>
        <v>2112.3960000000002</v>
      </c>
      <c r="G99" s="41">
        <f t="shared" si="13"/>
        <v>0</v>
      </c>
      <c r="H99" s="39">
        <f t="shared" si="14"/>
        <v>66.265862520000013</v>
      </c>
      <c r="I99" s="40">
        <f t="shared" si="15"/>
        <v>0</v>
      </c>
      <c r="J99" s="39">
        <f t="shared" si="24"/>
        <v>57.87965040000001</v>
      </c>
      <c r="K99" s="40">
        <f t="shared" si="17"/>
        <v>0</v>
      </c>
      <c r="L99" s="39">
        <f t="shared" si="25"/>
        <v>48.162628800000007</v>
      </c>
      <c r="M99" s="39">
        <f t="shared" si="19"/>
        <v>0</v>
      </c>
      <c r="N99" s="39">
        <f t="shared" si="20"/>
        <v>43.092878400000004</v>
      </c>
      <c r="O99" s="39">
        <f t="shared" si="21"/>
        <v>0</v>
      </c>
      <c r="P99" s="717">
        <f t="shared" si="22"/>
        <v>39.079326000000002</v>
      </c>
      <c r="Q99" s="39">
        <f t="shared" si="23"/>
        <v>0</v>
      </c>
      <c r="R99" s="528"/>
    </row>
    <row r="100" spans="1:18" s="519" customFormat="1" ht="13.5" customHeight="1" thickBot="1">
      <c r="A100" s="1006"/>
      <c r="B100" s="416"/>
      <c r="C100" s="199" t="s">
        <v>1152</v>
      </c>
      <c r="D100" s="426" t="s">
        <v>1231</v>
      </c>
      <c r="E100" s="715">
        <v>4345.12</v>
      </c>
      <c r="F100" s="38">
        <f t="shared" si="12"/>
        <v>2389.8160000000003</v>
      </c>
      <c r="G100" s="41">
        <f t="shared" si="13"/>
        <v>0</v>
      </c>
      <c r="H100" s="39">
        <f t="shared" si="14"/>
        <v>74.968527920000014</v>
      </c>
      <c r="I100" s="40">
        <f t="shared" si="15"/>
        <v>0</v>
      </c>
      <c r="J100" s="39">
        <f t="shared" si="24"/>
        <v>65.480958400000006</v>
      </c>
      <c r="K100" s="40">
        <f t="shared" si="17"/>
        <v>0</v>
      </c>
      <c r="L100" s="39">
        <f t="shared" si="25"/>
        <v>54.487804800000006</v>
      </c>
      <c r="M100" s="39">
        <f t="shared" si="19"/>
        <v>0</v>
      </c>
      <c r="N100" s="39">
        <f t="shared" si="20"/>
        <v>48.752246400000011</v>
      </c>
      <c r="O100" s="39">
        <f t="shared" si="21"/>
        <v>0</v>
      </c>
      <c r="P100" s="717">
        <f t="shared" si="22"/>
        <v>44.211596</v>
      </c>
      <c r="Q100" s="39">
        <f t="shared" si="23"/>
        <v>0</v>
      </c>
      <c r="R100" s="528"/>
    </row>
    <row r="101" spans="1:18" s="291" customFormat="1" ht="13.5" thickBot="1">
      <c r="A101" s="1006"/>
      <c r="B101" s="416"/>
      <c r="C101" s="199" t="s">
        <v>1232</v>
      </c>
      <c r="D101" s="426" t="s">
        <v>1233</v>
      </c>
      <c r="E101" s="715">
        <v>51294.879999999997</v>
      </c>
      <c r="F101" s="38">
        <f t="shared" si="12"/>
        <v>28212.184000000001</v>
      </c>
      <c r="G101" s="41">
        <f t="shared" si="13"/>
        <v>0</v>
      </c>
      <c r="H101" s="39">
        <f t="shared" si="14"/>
        <v>885.01621208000006</v>
      </c>
      <c r="I101" s="40">
        <f t="shared" si="15"/>
        <v>0</v>
      </c>
      <c r="J101" s="39">
        <f t="shared" si="24"/>
        <v>773.01384160000009</v>
      </c>
      <c r="K101" s="40">
        <f t="shared" si="17"/>
        <v>0</v>
      </c>
      <c r="L101" s="39">
        <f t="shared" si="25"/>
        <v>643.23779520000005</v>
      </c>
      <c r="M101" s="39">
        <f t="shared" si="19"/>
        <v>0</v>
      </c>
      <c r="N101" s="39">
        <f t="shared" si="20"/>
        <v>575.52855360000001</v>
      </c>
      <c r="O101" s="39">
        <f t="shared" si="21"/>
        <v>0</v>
      </c>
      <c r="P101" s="717">
        <f t="shared" si="22"/>
        <v>521.92540399999996</v>
      </c>
      <c r="Q101" s="39">
        <f t="shared" si="23"/>
        <v>0</v>
      </c>
      <c r="R101" s="528"/>
    </row>
    <row r="102" spans="1:18" s="291" customFormat="1" ht="30.6" customHeight="1" thickBot="1">
      <c r="A102" s="1006"/>
      <c r="B102" s="416"/>
      <c r="C102" s="199" t="s">
        <v>3961</v>
      </c>
      <c r="D102" s="426" t="s">
        <v>1234</v>
      </c>
      <c r="E102" s="715">
        <v>6406.4</v>
      </c>
      <c r="F102" s="38">
        <f t="shared" si="12"/>
        <v>3523.52</v>
      </c>
      <c r="G102" s="41">
        <f t="shared" si="13"/>
        <v>0</v>
      </c>
      <c r="H102" s="39">
        <f t="shared" si="14"/>
        <v>110.5328224</v>
      </c>
      <c r="I102" s="40">
        <f t="shared" si="15"/>
        <v>0</v>
      </c>
      <c r="J102" s="39">
        <f t="shared" si="24"/>
        <v>96.544448000000003</v>
      </c>
      <c r="K102" s="40">
        <f t="shared" si="17"/>
        <v>0</v>
      </c>
      <c r="L102" s="39">
        <f t="shared" si="25"/>
        <v>80.336256000000006</v>
      </c>
      <c r="M102" s="39">
        <f t="shared" si="19"/>
        <v>0</v>
      </c>
      <c r="N102" s="39">
        <f t="shared" si="20"/>
        <v>71.879808000000011</v>
      </c>
      <c r="O102" s="39">
        <f t="shared" si="21"/>
        <v>0</v>
      </c>
      <c r="P102" s="717">
        <f t="shared" si="22"/>
        <v>65.185119999999998</v>
      </c>
      <c r="Q102" s="39">
        <f t="shared" si="23"/>
        <v>0</v>
      </c>
      <c r="R102" s="528"/>
    </row>
    <row r="103" spans="1:18" s="291" customFormat="1" ht="28.15" customHeight="1" thickBot="1">
      <c r="A103" s="1006"/>
      <c r="B103" s="416"/>
      <c r="C103" s="199" t="s">
        <v>1235</v>
      </c>
      <c r="D103" s="426" t="s">
        <v>1381</v>
      </c>
      <c r="E103" s="715">
        <v>4484.4799999999996</v>
      </c>
      <c r="F103" s="38">
        <f t="shared" si="12"/>
        <v>2466.4639999999999</v>
      </c>
      <c r="G103" s="41">
        <f t="shared" si="13"/>
        <v>0</v>
      </c>
      <c r="H103" s="39">
        <f t="shared" si="14"/>
        <v>77.372975679999996</v>
      </c>
      <c r="I103" s="40">
        <f t="shared" si="15"/>
        <v>0</v>
      </c>
      <c r="J103" s="39">
        <f t="shared" si="24"/>
        <v>67.581113599999995</v>
      </c>
      <c r="K103" s="40">
        <f t="shared" si="17"/>
        <v>0</v>
      </c>
      <c r="L103" s="39">
        <f t="shared" si="25"/>
        <v>56.235379200000004</v>
      </c>
      <c r="M103" s="39">
        <f t="shared" si="19"/>
        <v>0</v>
      </c>
      <c r="N103" s="39">
        <f t="shared" si="20"/>
        <v>50.315865600000002</v>
      </c>
      <c r="O103" s="39">
        <f t="shared" si="21"/>
        <v>0</v>
      </c>
      <c r="P103" s="717">
        <f t="shared" si="22"/>
        <v>45.629583999999994</v>
      </c>
      <c r="Q103" s="39">
        <f t="shared" si="23"/>
        <v>0</v>
      </c>
      <c r="R103" s="528"/>
    </row>
    <row r="104" spans="1:18" s="291" customFormat="1" ht="13.5" thickBot="1">
      <c r="A104" s="1006"/>
      <c r="B104" s="416"/>
      <c r="C104" s="199" t="s">
        <v>1171</v>
      </c>
      <c r="D104" s="426" t="s">
        <v>1172</v>
      </c>
      <c r="E104" s="715">
        <v>7385.04</v>
      </c>
      <c r="F104" s="38">
        <f>E104*(1-45%)</f>
        <v>4061.7720000000004</v>
      </c>
      <c r="G104" s="41">
        <f>F104*B104</f>
        <v>0</v>
      </c>
      <c r="H104" s="39">
        <f>F104*0.03137</f>
        <v>127.41778764000001</v>
      </c>
      <c r="I104" s="40">
        <f>H104*B104</f>
        <v>0</v>
      </c>
      <c r="J104" s="39">
        <f>F104*0.0274</f>
        <v>111.29255280000001</v>
      </c>
      <c r="K104" s="40">
        <f>J104*B104</f>
        <v>0</v>
      </c>
      <c r="L104" s="39">
        <f>F104*0.0228</f>
        <v>92.608401600000008</v>
      </c>
      <c r="M104" s="39">
        <f>L104*B104</f>
        <v>0</v>
      </c>
      <c r="N104" s="39">
        <f>F104*0.0204</f>
        <v>82.860148800000019</v>
      </c>
      <c r="O104" s="39">
        <f>N104*B104</f>
        <v>0</v>
      </c>
      <c r="P104" s="717">
        <f>F104*0.0185</f>
        <v>75.142781999999997</v>
      </c>
      <c r="Q104" s="39">
        <f>P104*B104</f>
        <v>0</v>
      </c>
      <c r="R104" s="528"/>
    </row>
    <row r="105" spans="1:18" s="291" customFormat="1" ht="13.5" thickBot="1">
      <c r="A105" s="1006"/>
      <c r="B105" s="416"/>
      <c r="C105" s="199" t="s">
        <v>1236</v>
      </c>
      <c r="D105" s="426" t="s">
        <v>1237</v>
      </c>
      <c r="E105" s="715">
        <v>12102.48</v>
      </c>
      <c r="F105" s="38">
        <f>E105*(1-45%)</f>
        <v>6656.3640000000005</v>
      </c>
      <c r="G105" s="41">
        <f>F105*B105</f>
        <v>0</v>
      </c>
      <c r="H105" s="39">
        <f>F105*0.03137</f>
        <v>208.81013868000002</v>
      </c>
      <c r="I105" s="40">
        <f>H105*B105</f>
        <v>0</v>
      </c>
      <c r="J105" s="39">
        <f>F105*0.0274</f>
        <v>182.38437360000003</v>
      </c>
      <c r="K105" s="40">
        <f>J105*B105</f>
        <v>0</v>
      </c>
      <c r="L105" s="39">
        <f>F105*0.0228</f>
        <v>151.76509920000001</v>
      </c>
      <c r="M105" s="39">
        <f>L105*B105</f>
        <v>0</v>
      </c>
      <c r="N105" s="39">
        <f>F105*0.0204</f>
        <v>135.78982560000003</v>
      </c>
      <c r="O105" s="39">
        <f>N105*B105</f>
        <v>0</v>
      </c>
      <c r="P105" s="717">
        <f>F105*0.0185</f>
        <v>123.142734</v>
      </c>
      <c r="Q105" s="39">
        <f>P105*B105</f>
        <v>0</v>
      </c>
      <c r="R105" s="528"/>
    </row>
    <row r="106" spans="1:18" s="291" customFormat="1" ht="13.5" thickBot="1">
      <c r="A106" s="1006"/>
      <c r="B106" s="416"/>
      <c r="C106" s="199" t="s">
        <v>1132</v>
      </c>
      <c r="D106" s="426" t="s">
        <v>1133</v>
      </c>
      <c r="E106" s="715">
        <v>1274</v>
      </c>
      <c r="F106" s="38">
        <f>E106*(1-45%)</f>
        <v>700.7</v>
      </c>
      <c r="G106" s="41">
        <f>F106*B106</f>
        <v>0</v>
      </c>
      <c r="H106" s="39">
        <f>F106*0.03137</f>
        <v>21.980959000000002</v>
      </c>
      <c r="I106" s="40">
        <f>H106*B106</f>
        <v>0</v>
      </c>
      <c r="J106" s="39">
        <f>F106*0.0274</f>
        <v>19.199180000000002</v>
      </c>
      <c r="K106" s="40">
        <f>J106*B106</f>
        <v>0</v>
      </c>
      <c r="L106" s="39">
        <f>F106*0.0228</f>
        <v>15.975960000000002</v>
      </c>
      <c r="M106" s="39">
        <f>L106*B106</f>
        <v>0</v>
      </c>
      <c r="N106" s="39">
        <f>F106*0.0204</f>
        <v>14.294280000000002</v>
      </c>
      <c r="O106" s="39">
        <f>N106*B106</f>
        <v>0</v>
      </c>
      <c r="P106" s="717">
        <f>F106*0.0185</f>
        <v>12.962950000000001</v>
      </c>
      <c r="Q106" s="39">
        <f>P106*B106</f>
        <v>0</v>
      </c>
      <c r="R106" s="528"/>
    </row>
    <row r="107" spans="1:18" s="198" customFormat="1" ht="13.5" thickBot="1">
      <c r="A107" s="1006"/>
      <c r="B107" s="416"/>
      <c r="C107" s="199" t="s">
        <v>1150</v>
      </c>
      <c r="D107" s="426" t="s">
        <v>1151</v>
      </c>
      <c r="E107" s="715">
        <v>955.76</v>
      </c>
      <c r="F107" s="38">
        <f>E107*(1-45%)</f>
        <v>525.66800000000001</v>
      </c>
      <c r="G107" s="41">
        <f>F107*B107</f>
        <v>0</v>
      </c>
      <c r="H107" s="39">
        <f>F107*0.03137</f>
        <v>16.490205160000002</v>
      </c>
      <c r="I107" s="40">
        <f>H107*B107</f>
        <v>0</v>
      </c>
      <c r="J107" s="39">
        <f>F107*0.0274</f>
        <v>14.4033032</v>
      </c>
      <c r="K107" s="40">
        <f>J107*B107</f>
        <v>0</v>
      </c>
      <c r="L107" s="39">
        <f>F107*0.0228</f>
        <v>11.985230400000001</v>
      </c>
      <c r="M107" s="39">
        <f>L107*B107</f>
        <v>0</v>
      </c>
      <c r="N107" s="39">
        <f>F107*0.0204</f>
        <v>10.723627200000001</v>
      </c>
      <c r="O107" s="39">
        <f>N107*B107</f>
        <v>0</v>
      </c>
      <c r="P107" s="717">
        <f>F107*0.0185</f>
        <v>9.7248579999999993</v>
      </c>
      <c r="Q107" s="39">
        <f>P107*B107</f>
        <v>0</v>
      </c>
      <c r="R107" s="528"/>
    </row>
    <row r="108" spans="1:18" s="291" customFormat="1" ht="13.5" thickBot="1">
      <c r="A108" s="1006"/>
      <c r="B108" s="416"/>
      <c r="C108" s="199" t="s">
        <v>1238</v>
      </c>
      <c r="D108" s="426" t="s">
        <v>1239</v>
      </c>
      <c r="E108" s="715">
        <v>1610.28</v>
      </c>
      <c r="F108" s="38">
        <f t="shared" si="12"/>
        <v>885.65400000000011</v>
      </c>
      <c r="G108" s="41">
        <f t="shared" si="13"/>
        <v>0</v>
      </c>
      <c r="H108" s="39">
        <f t="shared" si="14"/>
        <v>27.782965980000004</v>
      </c>
      <c r="I108" s="40">
        <f t="shared" si="15"/>
        <v>0</v>
      </c>
      <c r="J108" s="39">
        <f t="shared" si="24"/>
        <v>24.266919600000005</v>
      </c>
      <c r="K108" s="40">
        <f t="shared" si="17"/>
        <v>0</v>
      </c>
      <c r="L108" s="39">
        <f t="shared" si="25"/>
        <v>20.192911200000005</v>
      </c>
      <c r="M108" s="39">
        <f t="shared" si="19"/>
        <v>0</v>
      </c>
      <c r="N108" s="39">
        <f t="shared" si="20"/>
        <v>18.067341600000002</v>
      </c>
      <c r="O108" s="39">
        <f t="shared" si="21"/>
        <v>0</v>
      </c>
      <c r="P108" s="717">
        <f t="shared" si="22"/>
        <v>16.384599000000001</v>
      </c>
      <c r="Q108" s="39">
        <f t="shared" si="23"/>
        <v>0</v>
      </c>
      <c r="R108" s="528"/>
    </row>
    <row r="109" spans="1:18" s="291" customFormat="1" ht="13.5" thickBot="1">
      <c r="A109" s="1006"/>
      <c r="B109" s="416"/>
      <c r="C109" s="199" t="s">
        <v>3962</v>
      </c>
      <c r="D109" s="426" t="s">
        <v>3963</v>
      </c>
      <c r="E109" s="715">
        <v>1610.28</v>
      </c>
      <c r="F109" s="38">
        <f t="shared" si="12"/>
        <v>885.65400000000011</v>
      </c>
      <c r="G109" s="41">
        <f t="shared" si="13"/>
        <v>0</v>
      </c>
      <c r="H109" s="39">
        <f t="shared" si="14"/>
        <v>27.782965980000004</v>
      </c>
      <c r="I109" s="40">
        <f t="shared" si="15"/>
        <v>0</v>
      </c>
      <c r="J109" s="39">
        <f t="shared" si="24"/>
        <v>24.266919600000005</v>
      </c>
      <c r="K109" s="40">
        <f t="shared" si="17"/>
        <v>0</v>
      </c>
      <c r="L109" s="39">
        <f t="shared" si="25"/>
        <v>20.192911200000005</v>
      </c>
      <c r="M109" s="39">
        <f t="shared" si="19"/>
        <v>0</v>
      </c>
      <c r="N109" s="39">
        <f t="shared" si="20"/>
        <v>18.067341600000002</v>
      </c>
      <c r="O109" s="39">
        <f t="shared" si="21"/>
        <v>0</v>
      </c>
      <c r="P109" s="717">
        <f t="shared" si="22"/>
        <v>16.384599000000001</v>
      </c>
      <c r="Q109" s="39">
        <f t="shared" si="23"/>
        <v>0</v>
      </c>
      <c r="R109" s="528"/>
    </row>
    <row r="110" spans="1:18" s="291" customFormat="1" ht="13.5" thickBot="1">
      <c r="A110" s="1006"/>
      <c r="B110" s="416"/>
      <c r="C110" s="199" t="s">
        <v>3964</v>
      </c>
      <c r="D110" s="426" t="s">
        <v>3965</v>
      </c>
      <c r="E110" s="715">
        <v>2514.2399999999998</v>
      </c>
      <c r="F110" s="38">
        <f t="shared" si="12"/>
        <v>1382.8319999999999</v>
      </c>
      <c r="G110" s="41">
        <f t="shared" si="13"/>
        <v>0</v>
      </c>
      <c r="H110" s="39">
        <f t="shared" si="14"/>
        <v>43.379439839999996</v>
      </c>
      <c r="I110" s="40">
        <f t="shared" si="15"/>
        <v>0</v>
      </c>
      <c r="J110" s="39">
        <f t="shared" si="24"/>
        <v>37.8895968</v>
      </c>
      <c r="K110" s="40">
        <f t="shared" si="17"/>
        <v>0</v>
      </c>
      <c r="L110" s="39">
        <f t="shared" si="25"/>
        <v>31.528569599999997</v>
      </c>
      <c r="M110" s="39">
        <f t="shared" si="19"/>
        <v>0</v>
      </c>
      <c r="N110" s="39">
        <f t="shared" si="20"/>
        <v>28.2097728</v>
      </c>
      <c r="O110" s="39">
        <f t="shared" si="21"/>
        <v>0</v>
      </c>
      <c r="P110" s="717">
        <f t="shared" si="22"/>
        <v>25.582391999999995</v>
      </c>
      <c r="Q110" s="39">
        <f t="shared" si="23"/>
        <v>0</v>
      </c>
      <c r="R110" s="528"/>
    </row>
    <row r="111" spans="1:18" s="198" customFormat="1" ht="13.5" thickBot="1">
      <c r="A111" s="1006"/>
      <c r="B111" s="416"/>
      <c r="C111" s="199" t="s">
        <v>3966</v>
      </c>
      <c r="D111" s="426" t="s">
        <v>3967</v>
      </c>
      <c r="E111" s="715">
        <v>31146.560000000001</v>
      </c>
      <c r="F111" s="38">
        <f t="shared" si="12"/>
        <v>17130.608000000004</v>
      </c>
      <c r="G111" s="41">
        <f t="shared" si="13"/>
        <v>0</v>
      </c>
      <c r="H111" s="39">
        <f t="shared" si="14"/>
        <v>537.38717296000016</v>
      </c>
      <c r="I111" s="40">
        <f t="shared" si="15"/>
        <v>0</v>
      </c>
      <c r="J111" s="39">
        <f t="shared" si="24"/>
        <v>469.37865920000013</v>
      </c>
      <c r="K111" s="40">
        <f t="shared" si="17"/>
        <v>0</v>
      </c>
      <c r="L111" s="39">
        <f t="shared" si="25"/>
        <v>390.57786240000013</v>
      </c>
      <c r="M111" s="39">
        <f t="shared" si="19"/>
        <v>0</v>
      </c>
      <c r="N111" s="39">
        <f t="shared" si="20"/>
        <v>349.46440320000011</v>
      </c>
      <c r="O111" s="39">
        <f t="shared" si="21"/>
        <v>0</v>
      </c>
      <c r="P111" s="717">
        <f t="shared" si="22"/>
        <v>316.91624800000005</v>
      </c>
      <c r="Q111" s="39">
        <f t="shared" si="23"/>
        <v>0</v>
      </c>
      <c r="R111" s="528"/>
    </row>
    <row r="112" spans="1:18" s="198" customFormat="1" ht="13.5" thickBot="1">
      <c r="A112" s="1006"/>
      <c r="B112" s="416"/>
      <c r="C112" s="199">
        <v>13200002</v>
      </c>
      <c r="D112" s="426" t="s">
        <v>1240</v>
      </c>
      <c r="E112" s="715">
        <v>663.05</v>
      </c>
      <c r="F112" s="38">
        <f t="shared" si="12"/>
        <v>364.67750000000001</v>
      </c>
      <c r="G112" s="41">
        <f t="shared" si="13"/>
        <v>0</v>
      </c>
      <c r="H112" s="39">
        <f t="shared" si="14"/>
        <v>11.439933175</v>
      </c>
      <c r="I112" s="40">
        <f t="shared" si="15"/>
        <v>0</v>
      </c>
      <c r="J112" s="39">
        <f t="shared" si="24"/>
        <v>9.9921635000000002</v>
      </c>
      <c r="K112" s="40">
        <f t="shared" si="17"/>
        <v>0</v>
      </c>
      <c r="L112" s="39">
        <f t="shared" si="25"/>
        <v>8.3146470000000008</v>
      </c>
      <c r="M112" s="39">
        <f t="shared" si="19"/>
        <v>0</v>
      </c>
      <c r="N112" s="39">
        <f t="shared" si="20"/>
        <v>7.4394210000000003</v>
      </c>
      <c r="O112" s="39">
        <f t="shared" si="21"/>
        <v>0</v>
      </c>
      <c r="P112" s="717">
        <f t="shared" si="22"/>
        <v>6.7465337500000002</v>
      </c>
      <c r="Q112" s="39">
        <f t="shared" si="23"/>
        <v>0</v>
      </c>
      <c r="R112" s="528"/>
    </row>
    <row r="113" spans="1:18" s="198" customFormat="1" ht="13.5" thickBot="1">
      <c r="A113" s="1006"/>
      <c r="B113" s="416"/>
      <c r="C113" s="199" t="s">
        <v>1241</v>
      </c>
      <c r="D113" s="426" t="s">
        <v>1242</v>
      </c>
      <c r="E113" s="715">
        <v>7546.63</v>
      </c>
      <c r="F113" s="38">
        <f t="shared" si="12"/>
        <v>4150.6465000000007</v>
      </c>
      <c r="G113" s="41">
        <f t="shared" si="13"/>
        <v>0</v>
      </c>
      <c r="H113" s="39">
        <f t="shared" si="14"/>
        <v>130.20578070500002</v>
      </c>
      <c r="I113" s="40">
        <f t="shared" si="15"/>
        <v>0</v>
      </c>
      <c r="J113" s="39">
        <f t="shared" si="24"/>
        <v>113.72771410000003</v>
      </c>
      <c r="K113" s="40">
        <f t="shared" si="17"/>
        <v>0</v>
      </c>
      <c r="L113" s="39">
        <f t="shared" si="25"/>
        <v>94.634740200000024</v>
      </c>
      <c r="M113" s="39">
        <f t="shared" si="19"/>
        <v>0</v>
      </c>
      <c r="N113" s="39">
        <f t="shared" si="20"/>
        <v>84.673188600000017</v>
      </c>
      <c r="O113" s="39">
        <f t="shared" si="21"/>
        <v>0</v>
      </c>
      <c r="P113" s="717">
        <f t="shared" si="22"/>
        <v>76.786960250000007</v>
      </c>
      <c r="Q113" s="39">
        <f t="shared" si="23"/>
        <v>0</v>
      </c>
      <c r="R113" s="528"/>
    </row>
    <row r="114" spans="1:18" s="519" customFormat="1" ht="13.5" customHeight="1" thickBot="1">
      <c r="A114" s="1006"/>
      <c r="B114" s="416"/>
      <c r="C114" s="199" t="s">
        <v>3968</v>
      </c>
      <c r="D114" s="426" t="s">
        <v>3969</v>
      </c>
      <c r="E114" s="715">
        <v>0</v>
      </c>
      <c r="F114" s="38">
        <f t="shared" si="12"/>
        <v>0</v>
      </c>
      <c r="G114" s="41">
        <f t="shared" si="13"/>
        <v>0</v>
      </c>
      <c r="H114" s="39">
        <f t="shared" si="14"/>
        <v>0</v>
      </c>
      <c r="I114" s="40">
        <f t="shared" si="15"/>
        <v>0</v>
      </c>
      <c r="J114" s="39">
        <f t="shared" si="24"/>
        <v>0</v>
      </c>
      <c r="K114" s="40">
        <f t="shared" si="17"/>
        <v>0</v>
      </c>
      <c r="L114" s="39">
        <f t="shared" si="25"/>
        <v>0</v>
      </c>
      <c r="M114" s="39">
        <f t="shared" si="19"/>
        <v>0</v>
      </c>
      <c r="N114" s="39">
        <f t="shared" si="20"/>
        <v>0</v>
      </c>
      <c r="O114" s="39">
        <f t="shared" si="21"/>
        <v>0</v>
      </c>
      <c r="P114" s="717">
        <f t="shared" si="22"/>
        <v>0</v>
      </c>
      <c r="Q114" s="39">
        <f t="shared" si="23"/>
        <v>0</v>
      </c>
      <c r="R114" s="528"/>
    </row>
    <row r="115" spans="1:18" s="291" customFormat="1" ht="13.5" thickBot="1">
      <c r="A115" s="1006"/>
      <c r="B115" s="416"/>
      <c r="C115" s="199" t="s">
        <v>1243</v>
      </c>
      <c r="D115" s="426" t="s">
        <v>1244</v>
      </c>
      <c r="E115" s="715">
        <v>51145.96</v>
      </c>
      <c r="F115" s="38">
        <f t="shared" si="12"/>
        <v>28130.278000000002</v>
      </c>
      <c r="G115" s="41">
        <f t="shared" si="13"/>
        <v>0</v>
      </c>
      <c r="H115" s="39">
        <f t="shared" si="14"/>
        <v>882.44682086000012</v>
      </c>
      <c r="I115" s="40">
        <f t="shared" si="15"/>
        <v>0</v>
      </c>
      <c r="J115" s="39">
        <f t="shared" si="24"/>
        <v>770.76961720000008</v>
      </c>
      <c r="K115" s="40">
        <f t="shared" si="17"/>
        <v>0</v>
      </c>
      <c r="L115" s="39">
        <f t="shared" si="25"/>
        <v>641.37033840000004</v>
      </c>
      <c r="M115" s="39">
        <f t="shared" si="19"/>
        <v>0</v>
      </c>
      <c r="N115" s="39">
        <f t="shared" si="20"/>
        <v>573.85767120000003</v>
      </c>
      <c r="O115" s="39">
        <f t="shared" si="21"/>
        <v>0</v>
      </c>
      <c r="P115" s="717">
        <f t="shared" si="22"/>
        <v>520.41014300000006</v>
      </c>
      <c r="Q115" s="39">
        <f t="shared" si="23"/>
        <v>0</v>
      </c>
      <c r="R115" s="528"/>
    </row>
    <row r="116" spans="1:18" s="291" customFormat="1" ht="13.5" thickBot="1">
      <c r="A116" s="1006"/>
      <c r="B116" s="416"/>
      <c r="C116" s="199" t="s">
        <v>3970</v>
      </c>
      <c r="D116" s="426" t="s">
        <v>3971</v>
      </c>
      <c r="E116" s="715">
        <v>26114.75</v>
      </c>
      <c r="F116" s="38">
        <f t="shared" si="12"/>
        <v>14363.112500000001</v>
      </c>
      <c r="G116" s="41">
        <f t="shared" si="13"/>
        <v>0</v>
      </c>
      <c r="H116" s="39">
        <f t="shared" si="14"/>
        <v>450.57083912500008</v>
      </c>
      <c r="I116" s="40">
        <f t="shared" si="15"/>
        <v>0</v>
      </c>
      <c r="J116" s="39">
        <f t="shared" si="24"/>
        <v>393.54928250000006</v>
      </c>
      <c r="K116" s="40">
        <f t="shared" si="17"/>
        <v>0</v>
      </c>
      <c r="L116" s="39">
        <f t="shared" si="25"/>
        <v>327.47896500000002</v>
      </c>
      <c r="M116" s="39">
        <f t="shared" si="19"/>
        <v>0</v>
      </c>
      <c r="N116" s="39">
        <f t="shared" si="20"/>
        <v>293.00749500000006</v>
      </c>
      <c r="O116" s="39">
        <f t="shared" si="21"/>
        <v>0</v>
      </c>
      <c r="P116" s="717">
        <f t="shared" si="22"/>
        <v>265.71758125000002</v>
      </c>
      <c r="Q116" s="39">
        <f t="shared" si="23"/>
        <v>0</v>
      </c>
      <c r="R116" s="528"/>
    </row>
    <row r="117" spans="1:18" s="198" customFormat="1" ht="13.5" thickBot="1">
      <c r="A117" s="1006"/>
      <c r="B117" s="416"/>
      <c r="C117" s="199">
        <v>13700022</v>
      </c>
      <c r="D117" s="426" t="s">
        <v>1245</v>
      </c>
      <c r="E117" s="715">
        <v>18623.990000000002</v>
      </c>
      <c r="F117" s="38">
        <f t="shared" si="12"/>
        <v>10243.194500000001</v>
      </c>
      <c r="G117" s="41">
        <f t="shared" si="13"/>
        <v>0</v>
      </c>
      <c r="H117" s="39">
        <f t="shared" si="14"/>
        <v>321.32901146500006</v>
      </c>
      <c r="I117" s="40">
        <f t="shared" si="15"/>
        <v>0</v>
      </c>
      <c r="J117" s="39">
        <f t="shared" si="24"/>
        <v>280.66352930000005</v>
      </c>
      <c r="K117" s="40">
        <f t="shared" si="17"/>
        <v>0</v>
      </c>
      <c r="L117" s="39">
        <f t="shared" si="25"/>
        <v>233.54483460000003</v>
      </c>
      <c r="M117" s="39">
        <f t="shared" si="19"/>
        <v>0</v>
      </c>
      <c r="N117" s="39">
        <f t="shared" si="20"/>
        <v>208.96116780000006</v>
      </c>
      <c r="O117" s="39">
        <f t="shared" si="21"/>
        <v>0</v>
      </c>
      <c r="P117" s="717">
        <f t="shared" si="22"/>
        <v>189.49909825</v>
      </c>
      <c r="Q117" s="39">
        <f t="shared" si="23"/>
        <v>0</v>
      </c>
      <c r="R117" s="528"/>
    </row>
    <row r="118" spans="1:18" s="198" customFormat="1" ht="13.5" thickBot="1">
      <c r="A118" s="1006"/>
      <c r="B118" s="416"/>
      <c r="C118" s="199" t="s">
        <v>1246</v>
      </c>
      <c r="D118" s="426" t="s">
        <v>1247</v>
      </c>
      <c r="E118" s="715">
        <v>1528.8</v>
      </c>
      <c r="F118" s="38">
        <f t="shared" si="12"/>
        <v>840.84</v>
      </c>
      <c r="G118" s="41">
        <f t="shared" si="13"/>
        <v>0</v>
      </c>
      <c r="H118" s="39">
        <f t="shared" si="14"/>
        <v>26.377150800000003</v>
      </c>
      <c r="I118" s="40">
        <f t="shared" si="15"/>
        <v>0</v>
      </c>
      <c r="J118" s="39">
        <f t="shared" si="24"/>
        <v>23.039016</v>
      </c>
      <c r="K118" s="40">
        <f t="shared" si="17"/>
        <v>0</v>
      </c>
      <c r="L118" s="39">
        <f t="shared" si="25"/>
        <v>19.171152000000003</v>
      </c>
      <c r="M118" s="39">
        <f t="shared" si="19"/>
        <v>0</v>
      </c>
      <c r="N118" s="39">
        <f t="shared" si="20"/>
        <v>17.153136000000003</v>
      </c>
      <c r="O118" s="39">
        <f t="shared" si="21"/>
        <v>0</v>
      </c>
      <c r="P118" s="717">
        <f t="shared" si="22"/>
        <v>15.555540000000001</v>
      </c>
      <c r="Q118" s="39">
        <f t="shared" si="23"/>
        <v>0</v>
      </c>
      <c r="R118" s="528"/>
    </row>
    <row r="119" spans="1:18" s="198" customFormat="1" ht="13.5" thickBot="1">
      <c r="A119" s="1006"/>
      <c r="B119" s="416"/>
      <c r="C119" s="199" t="s">
        <v>1248</v>
      </c>
      <c r="D119" s="426" t="s">
        <v>3972</v>
      </c>
      <c r="E119" s="715">
        <v>3990.48</v>
      </c>
      <c r="F119" s="38">
        <f t="shared" si="12"/>
        <v>2194.7640000000001</v>
      </c>
      <c r="G119" s="41">
        <f t="shared" si="13"/>
        <v>0</v>
      </c>
      <c r="H119" s="39">
        <f t="shared" si="14"/>
        <v>68.84974668000001</v>
      </c>
      <c r="I119" s="40">
        <f t="shared" si="15"/>
        <v>0</v>
      </c>
      <c r="J119" s="39">
        <f t="shared" si="24"/>
        <v>60.136533600000007</v>
      </c>
      <c r="K119" s="40">
        <f t="shared" si="17"/>
        <v>0</v>
      </c>
      <c r="L119" s="39">
        <f t="shared" si="25"/>
        <v>50.040619200000002</v>
      </c>
      <c r="M119" s="39">
        <f t="shared" si="19"/>
        <v>0</v>
      </c>
      <c r="N119" s="39">
        <f t="shared" si="20"/>
        <v>44.773185600000005</v>
      </c>
      <c r="O119" s="39">
        <f t="shared" si="21"/>
        <v>0</v>
      </c>
      <c r="P119" s="717">
        <f t="shared" si="22"/>
        <v>40.603133999999997</v>
      </c>
      <c r="Q119" s="39">
        <f t="shared" si="23"/>
        <v>0</v>
      </c>
      <c r="R119" s="528"/>
    </row>
    <row r="120" spans="1:18" s="198" customFormat="1" ht="13.5" thickBot="1">
      <c r="A120" s="1006"/>
      <c r="B120" s="416"/>
      <c r="C120" s="199" t="s">
        <v>1249</v>
      </c>
      <c r="D120" s="426" t="s">
        <v>1250</v>
      </c>
      <c r="E120" s="715">
        <v>4098</v>
      </c>
      <c r="F120" s="38">
        <f t="shared" si="12"/>
        <v>2253.9</v>
      </c>
      <c r="G120" s="41">
        <f t="shared" si="13"/>
        <v>0</v>
      </c>
      <c r="H120" s="39">
        <f t="shared" si="14"/>
        <v>70.704843000000011</v>
      </c>
      <c r="I120" s="40">
        <f t="shared" si="15"/>
        <v>0</v>
      </c>
      <c r="J120" s="39">
        <f>F120*0.02564</f>
        <v>57.789996000000002</v>
      </c>
      <c r="K120" s="40">
        <f t="shared" si="17"/>
        <v>0</v>
      </c>
      <c r="L120" s="39">
        <f t="shared" si="25"/>
        <v>51.388920000000006</v>
      </c>
      <c r="M120" s="39">
        <f t="shared" si="19"/>
        <v>0</v>
      </c>
      <c r="N120" s="39">
        <f t="shared" si="20"/>
        <v>45.979560000000006</v>
      </c>
      <c r="O120" s="39">
        <f t="shared" si="21"/>
        <v>0</v>
      </c>
      <c r="P120" s="717">
        <f t="shared" si="22"/>
        <v>41.697150000000001</v>
      </c>
      <c r="Q120" s="39">
        <f t="shared" si="23"/>
        <v>0</v>
      </c>
      <c r="R120" s="528"/>
    </row>
    <row r="121" spans="1:18" s="198" customFormat="1" ht="13.5" thickBot="1">
      <c r="A121" s="1006"/>
      <c r="B121" s="416"/>
      <c r="C121" s="202" t="s">
        <v>1146</v>
      </c>
      <c r="D121" s="426" t="s">
        <v>1147</v>
      </c>
      <c r="E121" s="715">
        <v>10067.200000000001</v>
      </c>
      <c r="F121" s="38">
        <f t="shared" si="12"/>
        <v>5536.9600000000009</v>
      </c>
      <c r="G121" s="41">
        <f t="shared" si="13"/>
        <v>0</v>
      </c>
      <c r="H121" s="39">
        <f t="shared" si="14"/>
        <v>173.69443520000004</v>
      </c>
      <c r="I121" s="40">
        <f t="shared" si="15"/>
        <v>0</v>
      </c>
      <c r="J121" s="39">
        <f t="shared" ref="J121:J136" si="26">F121*0.0274</f>
        <v>151.71270400000003</v>
      </c>
      <c r="K121" s="40">
        <f t="shared" si="17"/>
        <v>0</v>
      </c>
      <c r="L121" s="39">
        <f t="shared" si="25"/>
        <v>126.24268800000003</v>
      </c>
      <c r="M121" s="39">
        <f t="shared" si="19"/>
        <v>0</v>
      </c>
      <c r="N121" s="39">
        <f t="shared" si="20"/>
        <v>112.95398400000003</v>
      </c>
      <c r="O121" s="39">
        <f t="shared" si="21"/>
        <v>0</v>
      </c>
      <c r="P121" s="717">
        <f t="shared" si="22"/>
        <v>102.43376000000001</v>
      </c>
      <c r="Q121" s="39">
        <f t="shared" si="23"/>
        <v>0</v>
      </c>
      <c r="R121" s="528"/>
    </row>
    <row r="122" spans="1:18" s="198" customFormat="1" ht="13.5" thickBot="1">
      <c r="A122" s="1006"/>
      <c r="B122" s="416"/>
      <c r="C122" s="199" t="s">
        <v>1251</v>
      </c>
      <c r="D122" s="426" t="s">
        <v>1252</v>
      </c>
      <c r="E122" s="715">
        <v>5772</v>
      </c>
      <c r="F122" s="38">
        <f t="shared" si="12"/>
        <v>3174.6000000000004</v>
      </c>
      <c r="G122" s="41">
        <f t="shared" si="13"/>
        <v>0</v>
      </c>
      <c r="H122" s="39">
        <f t="shared" si="14"/>
        <v>99.587202000000019</v>
      </c>
      <c r="I122" s="40">
        <f t="shared" si="15"/>
        <v>0</v>
      </c>
      <c r="J122" s="39">
        <f t="shared" si="26"/>
        <v>86.984040000000007</v>
      </c>
      <c r="K122" s="40">
        <f t="shared" si="17"/>
        <v>0</v>
      </c>
      <c r="L122" s="39">
        <f t="shared" si="25"/>
        <v>72.380880000000005</v>
      </c>
      <c r="M122" s="39">
        <f t="shared" si="19"/>
        <v>0</v>
      </c>
      <c r="N122" s="39">
        <f t="shared" si="20"/>
        <v>64.761840000000007</v>
      </c>
      <c r="O122" s="39">
        <f t="shared" si="21"/>
        <v>0</v>
      </c>
      <c r="P122" s="717">
        <f t="shared" si="22"/>
        <v>58.730100000000007</v>
      </c>
      <c r="Q122" s="39">
        <f t="shared" si="23"/>
        <v>0</v>
      </c>
      <c r="R122" s="528"/>
    </row>
    <row r="123" spans="1:18" s="291" customFormat="1" ht="13.5" thickBot="1">
      <c r="A123" s="1006"/>
      <c r="B123" s="416"/>
      <c r="C123" s="709" t="s">
        <v>1253</v>
      </c>
      <c r="D123" s="199" t="s">
        <v>1254</v>
      </c>
      <c r="E123" s="715">
        <v>31832.32</v>
      </c>
      <c r="F123" s="38">
        <f t="shared" si="12"/>
        <v>17507.776000000002</v>
      </c>
      <c r="G123" s="41">
        <f t="shared" si="13"/>
        <v>0</v>
      </c>
      <c r="H123" s="39">
        <f t="shared" si="14"/>
        <v>549.21893312000009</v>
      </c>
      <c r="I123" s="40">
        <f t="shared" si="15"/>
        <v>0</v>
      </c>
      <c r="J123" s="39">
        <f t="shared" si="26"/>
        <v>479.71306240000007</v>
      </c>
      <c r="K123" s="40">
        <f t="shared" si="17"/>
        <v>0</v>
      </c>
      <c r="L123" s="39">
        <f t="shared" si="25"/>
        <v>399.17729280000003</v>
      </c>
      <c r="M123" s="39">
        <f t="shared" si="19"/>
        <v>0</v>
      </c>
      <c r="N123" s="39">
        <f t="shared" si="20"/>
        <v>357.15863040000005</v>
      </c>
      <c r="O123" s="39">
        <f t="shared" si="21"/>
        <v>0</v>
      </c>
      <c r="P123" s="717">
        <f t="shared" si="22"/>
        <v>323.89385600000003</v>
      </c>
      <c r="Q123" s="39">
        <f t="shared" si="23"/>
        <v>0</v>
      </c>
      <c r="R123" s="528"/>
    </row>
    <row r="124" spans="1:18" s="291" customFormat="1" ht="13.5" thickBot="1">
      <c r="A124" s="1006"/>
      <c r="B124" s="416"/>
      <c r="C124" s="199" t="s">
        <v>1136</v>
      </c>
      <c r="D124" s="426" t="s">
        <v>1137</v>
      </c>
      <c r="E124" s="715">
        <v>2263.04</v>
      </c>
      <c r="F124" s="38">
        <f t="shared" si="12"/>
        <v>1244.672</v>
      </c>
      <c r="G124" s="41">
        <f t="shared" si="13"/>
        <v>0</v>
      </c>
      <c r="H124" s="39">
        <f t="shared" si="14"/>
        <v>39.045360640000006</v>
      </c>
      <c r="I124" s="40">
        <f t="shared" si="15"/>
        <v>0</v>
      </c>
      <c r="J124" s="39">
        <f t="shared" si="26"/>
        <v>34.1040128</v>
      </c>
      <c r="K124" s="40">
        <f t="shared" si="17"/>
        <v>0</v>
      </c>
      <c r="L124" s="39">
        <f t="shared" si="25"/>
        <v>28.378521600000003</v>
      </c>
      <c r="M124" s="39">
        <f t="shared" si="19"/>
        <v>0</v>
      </c>
      <c r="N124" s="39">
        <f t="shared" si="20"/>
        <v>25.391308800000001</v>
      </c>
      <c r="O124" s="39">
        <f t="shared" si="21"/>
        <v>0</v>
      </c>
      <c r="P124" s="717">
        <f t="shared" si="22"/>
        <v>23.026432</v>
      </c>
      <c r="Q124" s="39">
        <f t="shared" si="23"/>
        <v>0</v>
      </c>
      <c r="R124" s="528"/>
    </row>
    <row r="125" spans="1:18" s="291" customFormat="1" ht="13.5" thickBot="1">
      <c r="A125" s="1006"/>
      <c r="B125" s="416"/>
      <c r="C125" s="199" t="s">
        <v>1255</v>
      </c>
      <c r="D125" s="426" t="s">
        <v>1256</v>
      </c>
      <c r="E125" s="715">
        <v>18550.48</v>
      </c>
      <c r="F125" s="38">
        <f t="shared" si="12"/>
        <v>10202.764000000001</v>
      </c>
      <c r="G125" s="41">
        <f t="shared" si="13"/>
        <v>0</v>
      </c>
      <c r="H125" s="39">
        <f t="shared" si="14"/>
        <v>320.06070668000007</v>
      </c>
      <c r="I125" s="40">
        <f t="shared" si="15"/>
        <v>0</v>
      </c>
      <c r="J125" s="39">
        <f t="shared" si="26"/>
        <v>279.55573360000005</v>
      </c>
      <c r="K125" s="40">
        <f t="shared" si="17"/>
        <v>0</v>
      </c>
      <c r="L125" s="39">
        <f t="shared" si="25"/>
        <v>232.62301920000004</v>
      </c>
      <c r="M125" s="39">
        <f t="shared" si="19"/>
        <v>0</v>
      </c>
      <c r="N125" s="39">
        <f t="shared" si="20"/>
        <v>208.13638560000004</v>
      </c>
      <c r="O125" s="39">
        <f t="shared" si="21"/>
        <v>0</v>
      </c>
      <c r="P125" s="717">
        <f t="shared" si="22"/>
        <v>188.75113400000001</v>
      </c>
      <c r="Q125" s="39">
        <f t="shared" si="23"/>
        <v>0</v>
      </c>
      <c r="R125" s="528"/>
    </row>
    <row r="126" spans="1:18" s="291" customFormat="1" ht="13.5" thickBot="1">
      <c r="A126" s="1006"/>
      <c r="B126" s="416"/>
      <c r="C126" s="709" t="s">
        <v>1257</v>
      </c>
      <c r="D126" s="199" t="s">
        <v>1258</v>
      </c>
      <c r="E126" s="715">
        <v>18524.48</v>
      </c>
      <c r="F126" s="38">
        <f t="shared" si="12"/>
        <v>10188.464</v>
      </c>
      <c r="G126" s="41">
        <f t="shared" si="13"/>
        <v>0</v>
      </c>
      <c r="H126" s="39">
        <f t="shared" si="14"/>
        <v>319.61211568000004</v>
      </c>
      <c r="I126" s="40">
        <f t="shared" si="15"/>
        <v>0</v>
      </c>
      <c r="J126" s="39">
        <f t="shared" si="26"/>
        <v>279.1639136</v>
      </c>
      <c r="K126" s="40">
        <f t="shared" si="17"/>
        <v>0</v>
      </c>
      <c r="L126" s="39">
        <f t="shared" si="25"/>
        <v>232.29697920000001</v>
      </c>
      <c r="M126" s="39">
        <f t="shared" si="19"/>
        <v>0</v>
      </c>
      <c r="N126" s="39">
        <f t="shared" si="20"/>
        <v>207.84466560000001</v>
      </c>
      <c r="O126" s="39">
        <f t="shared" si="21"/>
        <v>0</v>
      </c>
      <c r="P126" s="717">
        <f t="shared" si="22"/>
        <v>188.48658399999999</v>
      </c>
      <c r="Q126" s="39">
        <f t="shared" si="23"/>
        <v>0</v>
      </c>
      <c r="R126" s="528"/>
    </row>
    <row r="127" spans="1:18" s="291" customFormat="1" ht="13.5" thickBot="1">
      <c r="A127" s="1006"/>
      <c r="B127" s="416"/>
      <c r="C127" s="199" t="s">
        <v>1259</v>
      </c>
      <c r="D127" s="426" t="s">
        <v>1260</v>
      </c>
      <c r="E127" s="715">
        <v>6604.8</v>
      </c>
      <c r="F127" s="38">
        <f t="shared" si="12"/>
        <v>3632.6400000000003</v>
      </c>
      <c r="G127" s="41">
        <f t="shared" si="13"/>
        <v>0</v>
      </c>
      <c r="H127" s="39">
        <f t="shared" si="14"/>
        <v>113.95591680000001</v>
      </c>
      <c r="I127" s="40">
        <f t="shared" si="15"/>
        <v>0</v>
      </c>
      <c r="J127" s="39">
        <f t="shared" si="26"/>
        <v>99.53433600000001</v>
      </c>
      <c r="K127" s="40">
        <f t="shared" si="17"/>
        <v>0</v>
      </c>
      <c r="L127" s="39">
        <f t="shared" si="25"/>
        <v>82.824192000000011</v>
      </c>
      <c r="M127" s="39">
        <f t="shared" si="19"/>
        <v>0</v>
      </c>
      <c r="N127" s="39">
        <f t="shared" si="20"/>
        <v>74.105856000000017</v>
      </c>
      <c r="O127" s="39">
        <f t="shared" si="21"/>
        <v>0</v>
      </c>
      <c r="P127" s="717">
        <f t="shared" si="22"/>
        <v>67.20384</v>
      </c>
      <c r="Q127" s="39">
        <f t="shared" si="23"/>
        <v>0</v>
      </c>
      <c r="R127" s="528"/>
    </row>
    <row r="128" spans="1:18" s="291" customFormat="1" ht="13.5" thickBot="1">
      <c r="A128" s="1006"/>
      <c r="B128" s="416"/>
      <c r="C128" s="199" t="s">
        <v>1261</v>
      </c>
      <c r="D128" s="426" t="s">
        <v>1262</v>
      </c>
      <c r="E128" s="715">
        <v>18120.96</v>
      </c>
      <c r="F128" s="38">
        <f t="shared" si="12"/>
        <v>9966.5280000000002</v>
      </c>
      <c r="G128" s="41">
        <f t="shared" si="13"/>
        <v>0</v>
      </c>
      <c r="H128" s="39">
        <f t="shared" si="14"/>
        <v>312.64998336000002</v>
      </c>
      <c r="I128" s="40">
        <f t="shared" si="15"/>
        <v>0</v>
      </c>
      <c r="J128" s="39">
        <f t="shared" si="26"/>
        <v>273.08286720000001</v>
      </c>
      <c r="K128" s="40">
        <f t="shared" si="17"/>
        <v>0</v>
      </c>
      <c r="L128" s="39">
        <f t="shared" si="25"/>
        <v>227.23683840000001</v>
      </c>
      <c r="M128" s="39">
        <f t="shared" si="19"/>
        <v>0</v>
      </c>
      <c r="N128" s="39">
        <f t="shared" si="20"/>
        <v>203.31717120000002</v>
      </c>
      <c r="O128" s="39">
        <f t="shared" si="21"/>
        <v>0</v>
      </c>
      <c r="P128" s="717">
        <f t="shared" si="22"/>
        <v>184.38076799999999</v>
      </c>
      <c r="Q128" s="39">
        <f t="shared" si="23"/>
        <v>0</v>
      </c>
      <c r="R128" s="528"/>
    </row>
    <row r="129" spans="1:18" s="291" customFormat="1" ht="13.5" thickBot="1">
      <c r="A129" s="1006"/>
      <c r="B129" s="416"/>
      <c r="C129" s="199" t="s">
        <v>3973</v>
      </c>
      <c r="D129" s="426" t="s">
        <v>3974</v>
      </c>
      <c r="E129" s="715">
        <v>5657.6</v>
      </c>
      <c r="F129" s="38">
        <f t="shared" si="12"/>
        <v>3111.6800000000003</v>
      </c>
      <c r="G129" s="41">
        <f t="shared" si="13"/>
        <v>0</v>
      </c>
      <c r="H129" s="39">
        <f t="shared" si="14"/>
        <v>97.613401600000017</v>
      </c>
      <c r="I129" s="40">
        <f t="shared" si="15"/>
        <v>0</v>
      </c>
      <c r="J129" s="39">
        <f t="shared" si="26"/>
        <v>85.26003200000001</v>
      </c>
      <c r="K129" s="40">
        <f t="shared" si="17"/>
        <v>0</v>
      </c>
      <c r="L129" s="39">
        <f t="shared" si="25"/>
        <v>70.946304000000012</v>
      </c>
      <c r="M129" s="39">
        <f t="shared" si="19"/>
        <v>0</v>
      </c>
      <c r="N129" s="39">
        <f t="shared" si="20"/>
        <v>63.478272000000011</v>
      </c>
      <c r="O129" s="39">
        <f t="shared" si="21"/>
        <v>0</v>
      </c>
      <c r="P129" s="717">
        <f t="shared" si="22"/>
        <v>57.566079999999999</v>
      </c>
      <c r="Q129" s="39">
        <f t="shared" si="23"/>
        <v>0</v>
      </c>
      <c r="R129" s="528"/>
    </row>
    <row r="130" spans="1:18" s="519" customFormat="1" ht="13.5" thickBot="1">
      <c r="A130" s="1006"/>
      <c r="B130" s="416"/>
      <c r="C130" s="199" t="s">
        <v>3975</v>
      </c>
      <c r="D130" s="426" t="s">
        <v>3976</v>
      </c>
      <c r="E130" s="715">
        <v>37574.53</v>
      </c>
      <c r="F130" s="38">
        <f t="shared" si="12"/>
        <v>20665.9915</v>
      </c>
      <c r="G130" s="41">
        <f t="shared" si="13"/>
        <v>0</v>
      </c>
      <c r="H130" s="39">
        <f t="shared" si="14"/>
        <v>648.2921533550001</v>
      </c>
      <c r="I130" s="40">
        <f t="shared" si="15"/>
        <v>0</v>
      </c>
      <c r="J130" s="39">
        <f t="shared" si="26"/>
        <v>566.24816710000005</v>
      </c>
      <c r="K130" s="40">
        <f t="shared" si="17"/>
        <v>0</v>
      </c>
      <c r="L130" s="39">
        <f t="shared" si="25"/>
        <v>471.18460620000002</v>
      </c>
      <c r="M130" s="39">
        <f t="shared" si="19"/>
        <v>0</v>
      </c>
      <c r="N130" s="39">
        <f t="shared" si="20"/>
        <v>421.58622660000003</v>
      </c>
      <c r="O130" s="39">
        <f t="shared" si="21"/>
        <v>0</v>
      </c>
      <c r="P130" s="717">
        <f t="shared" si="22"/>
        <v>382.32084275</v>
      </c>
      <c r="Q130" s="39">
        <f t="shared" si="23"/>
        <v>0</v>
      </c>
      <c r="R130" s="528"/>
    </row>
    <row r="131" spans="1:18" s="291" customFormat="1" ht="13.5" thickBot="1">
      <c r="A131" s="1006"/>
      <c r="B131" s="416"/>
      <c r="C131" s="199" t="s">
        <v>1263</v>
      </c>
      <c r="D131" s="426" t="s">
        <v>1264</v>
      </c>
      <c r="E131" s="715">
        <v>586.55999999999995</v>
      </c>
      <c r="F131" s="38">
        <f t="shared" si="12"/>
        <v>322.608</v>
      </c>
      <c r="G131" s="41">
        <f t="shared" si="13"/>
        <v>0</v>
      </c>
      <c r="H131" s="39">
        <f t="shared" si="14"/>
        <v>10.12021296</v>
      </c>
      <c r="I131" s="40">
        <f t="shared" si="15"/>
        <v>0</v>
      </c>
      <c r="J131" s="39">
        <f t="shared" si="26"/>
        <v>8.8394592000000003</v>
      </c>
      <c r="K131" s="40">
        <f t="shared" si="17"/>
        <v>0</v>
      </c>
      <c r="L131" s="39">
        <f t="shared" si="25"/>
        <v>7.3554624000000004</v>
      </c>
      <c r="M131" s="39">
        <f t="shared" si="19"/>
        <v>0</v>
      </c>
      <c r="N131" s="39">
        <f t="shared" si="20"/>
        <v>6.5812032000000009</v>
      </c>
      <c r="O131" s="39">
        <f t="shared" si="21"/>
        <v>0</v>
      </c>
      <c r="P131" s="717">
        <f t="shared" si="22"/>
        <v>5.968248</v>
      </c>
      <c r="Q131" s="39">
        <f t="shared" si="23"/>
        <v>0</v>
      </c>
      <c r="R131" s="528"/>
    </row>
    <row r="132" spans="1:18" s="291" customFormat="1" ht="13.5" thickBot="1">
      <c r="A132" s="1006"/>
      <c r="B132" s="416"/>
      <c r="C132" s="199" t="s">
        <v>1265</v>
      </c>
      <c r="D132" s="426" t="s">
        <v>1280</v>
      </c>
      <c r="E132" s="715">
        <v>9375.6</v>
      </c>
      <c r="F132" s="38">
        <f t="shared" si="12"/>
        <v>5156.5800000000008</v>
      </c>
      <c r="G132" s="41">
        <f t="shared" si="13"/>
        <v>0</v>
      </c>
      <c r="H132" s="39">
        <f t="shared" si="14"/>
        <v>161.76191460000004</v>
      </c>
      <c r="I132" s="40">
        <f t="shared" si="15"/>
        <v>0</v>
      </c>
      <c r="J132" s="39">
        <f t="shared" si="26"/>
        <v>141.29029200000002</v>
      </c>
      <c r="K132" s="40">
        <f t="shared" si="17"/>
        <v>0</v>
      </c>
      <c r="L132" s="39">
        <f t="shared" si="25"/>
        <v>117.57002400000002</v>
      </c>
      <c r="M132" s="39">
        <f t="shared" si="19"/>
        <v>0</v>
      </c>
      <c r="N132" s="39">
        <f t="shared" si="20"/>
        <v>105.19423200000003</v>
      </c>
      <c r="O132" s="39">
        <f t="shared" si="21"/>
        <v>0</v>
      </c>
      <c r="P132" s="717">
        <f t="shared" si="22"/>
        <v>95.396730000000005</v>
      </c>
      <c r="Q132" s="39">
        <f t="shared" si="23"/>
        <v>0</v>
      </c>
      <c r="R132" s="528"/>
    </row>
    <row r="133" spans="1:18" s="291" customFormat="1" ht="13.5" thickBot="1">
      <c r="A133" s="1006"/>
      <c r="B133" s="416"/>
      <c r="C133" s="199" t="s">
        <v>1266</v>
      </c>
      <c r="D133" s="426" t="s">
        <v>1267</v>
      </c>
      <c r="E133" s="715">
        <v>4461.6000000000004</v>
      </c>
      <c r="F133" s="38">
        <f t="shared" si="12"/>
        <v>2453.8800000000006</v>
      </c>
      <c r="G133" s="41">
        <f t="shared" si="13"/>
        <v>0</v>
      </c>
      <c r="H133" s="39">
        <f t="shared" si="14"/>
        <v>76.978215600000027</v>
      </c>
      <c r="I133" s="40">
        <f t="shared" si="15"/>
        <v>0</v>
      </c>
      <c r="J133" s="39">
        <f t="shared" si="26"/>
        <v>67.236312000000012</v>
      </c>
      <c r="K133" s="40">
        <f t="shared" si="17"/>
        <v>0</v>
      </c>
      <c r="L133" s="39">
        <f t="shared" si="25"/>
        <v>55.948464000000016</v>
      </c>
      <c r="M133" s="39">
        <f t="shared" si="19"/>
        <v>0</v>
      </c>
      <c r="N133" s="39">
        <f t="shared" si="20"/>
        <v>50.059152000000012</v>
      </c>
      <c r="O133" s="39">
        <f t="shared" si="21"/>
        <v>0</v>
      </c>
      <c r="P133" s="717">
        <f t="shared" si="22"/>
        <v>45.396780000000007</v>
      </c>
      <c r="Q133" s="39">
        <f t="shared" si="23"/>
        <v>0</v>
      </c>
      <c r="R133" s="528"/>
    </row>
    <row r="134" spans="1:18" s="291" customFormat="1" ht="13.5" thickBot="1">
      <c r="A134" s="1006"/>
      <c r="B134" s="416"/>
      <c r="C134" s="199" t="s">
        <v>1268</v>
      </c>
      <c r="D134" s="426" t="s">
        <v>1269</v>
      </c>
      <c r="E134" s="715">
        <v>20809.36</v>
      </c>
      <c r="F134" s="38">
        <f t="shared" si="12"/>
        <v>11445.148000000001</v>
      </c>
      <c r="G134" s="41">
        <f t="shared" si="13"/>
        <v>0</v>
      </c>
      <c r="H134" s="39">
        <f t="shared" si="14"/>
        <v>359.03429276000003</v>
      </c>
      <c r="I134" s="40">
        <f t="shared" si="15"/>
        <v>0</v>
      </c>
      <c r="J134" s="39">
        <f t="shared" si="26"/>
        <v>313.59705520000006</v>
      </c>
      <c r="K134" s="40">
        <f t="shared" si="17"/>
        <v>0</v>
      </c>
      <c r="L134" s="39">
        <f t="shared" si="25"/>
        <v>260.94937440000001</v>
      </c>
      <c r="M134" s="39">
        <f t="shared" si="19"/>
        <v>0</v>
      </c>
      <c r="N134" s="39">
        <f t="shared" si="20"/>
        <v>233.48101920000005</v>
      </c>
      <c r="O134" s="39">
        <f t="shared" si="21"/>
        <v>0</v>
      </c>
      <c r="P134" s="717">
        <f t="shared" si="22"/>
        <v>211.73523800000001</v>
      </c>
      <c r="Q134" s="39">
        <f t="shared" si="23"/>
        <v>0</v>
      </c>
      <c r="R134" s="528"/>
    </row>
    <row r="135" spans="1:18" s="519" customFormat="1" ht="13.5" thickBot="1">
      <c r="A135" s="1006"/>
      <c r="B135" s="416"/>
      <c r="C135" s="199" t="s">
        <v>1270</v>
      </c>
      <c r="D135" s="426" t="s">
        <v>3977</v>
      </c>
      <c r="E135" s="715">
        <v>1372.8</v>
      </c>
      <c r="F135" s="38">
        <f t="shared" si="12"/>
        <v>755.04000000000008</v>
      </c>
      <c r="G135" s="41">
        <f t="shared" si="13"/>
        <v>0</v>
      </c>
      <c r="H135" s="39">
        <f t="shared" si="14"/>
        <v>23.685604800000004</v>
      </c>
      <c r="I135" s="40">
        <f t="shared" si="15"/>
        <v>0</v>
      </c>
      <c r="J135" s="39">
        <f t="shared" si="26"/>
        <v>20.688096000000002</v>
      </c>
      <c r="K135" s="40">
        <f t="shared" si="17"/>
        <v>0</v>
      </c>
      <c r="L135" s="39">
        <f t="shared" si="25"/>
        <v>17.214912000000002</v>
      </c>
      <c r="M135" s="39">
        <f t="shared" si="19"/>
        <v>0</v>
      </c>
      <c r="N135" s="39">
        <f t="shared" si="20"/>
        <v>15.402816000000003</v>
      </c>
      <c r="O135" s="39">
        <f t="shared" si="21"/>
        <v>0</v>
      </c>
      <c r="P135" s="717">
        <f t="shared" si="22"/>
        <v>13.968240000000002</v>
      </c>
      <c r="Q135" s="39">
        <f t="shared" si="23"/>
        <v>0</v>
      </c>
      <c r="R135" s="528"/>
    </row>
    <row r="136" spans="1:18" s="291" customFormat="1" ht="13.5" thickBot="1">
      <c r="A136" s="1007"/>
      <c r="B136" s="714"/>
      <c r="C136" s="199" t="s">
        <v>1271</v>
      </c>
      <c r="D136" s="426" t="s">
        <v>3978</v>
      </c>
      <c r="E136" s="715">
        <v>1081.5999999999999</v>
      </c>
      <c r="F136" s="38">
        <f t="shared" si="12"/>
        <v>594.88</v>
      </c>
      <c r="G136" s="41">
        <f t="shared" si="13"/>
        <v>0</v>
      </c>
      <c r="H136" s="39">
        <f t="shared" si="14"/>
        <v>18.661385600000003</v>
      </c>
      <c r="I136" s="40">
        <f t="shared" si="15"/>
        <v>0</v>
      </c>
      <c r="J136" s="39">
        <f t="shared" si="26"/>
        <v>16.299712</v>
      </c>
      <c r="K136" s="40">
        <f t="shared" si="17"/>
        <v>0</v>
      </c>
      <c r="L136" s="39">
        <f t="shared" si="25"/>
        <v>13.563264</v>
      </c>
      <c r="M136" s="39">
        <f t="shared" si="19"/>
        <v>0</v>
      </c>
      <c r="N136" s="39">
        <f t="shared" si="20"/>
        <v>12.135552000000001</v>
      </c>
      <c r="O136" s="39">
        <f t="shared" si="21"/>
        <v>0</v>
      </c>
      <c r="P136" s="717">
        <f t="shared" si="22"/>
        <v>11.005279999999999</v>
      </c>
      <c r="Q136" s="39">
        <f t="shared" si="23"/>
        <v>0</v>
      </c>
      <c r="R136" s="528"/>
    </row>
    <row r="137" spans="1:18" s="291" customFormat="1" ht="15">
      <c r="A137" s="519"/>
      <c r="B137" s="258"/>
      <c r="C137" s="258"/>
      <c r="D137" s="1183" t="s">
        <v>65</v>
      </c>
      <c r="E137" s="1009"/>
      <c r="F137" s="1009"/>
      <c r="G137" s="520">
        <f>SUM(G33:G136)+G30</f>
        <v>0</v>
      </c>
      <c r="H137" s="329" t="s">
        <v>67</v>
      </c>
      <c r="I137" s="520">
        <f>SUM(I33:I136)+I30</f>
        <v>0</v>
      </c>
      <c r="J137" s="329" t="s">
        <v>68</v>
      </c>
      <c r="K137" s="520">
        <f>SUM(K33:K136)+K30</f>
        <v>0</v>
      </c>
      <c r="L137" s="329" t="s">
        <v>69</v>
      </c>
      <c r="M137" s="520">
        <f>SUM(M33:M136)+M30</f>
        <v>0</v>
      </c>
      <c r="N137" s="329" t="s">
        <v>860</v>
      </c>
      <c r="O137" s="520">
        <f>SUM(O33:O136)+O30</f>
        <v>0</v>
      </c>
      <c r="P137" s="329" t="s">
        <v>861</v>
      </c>
      <c r="Q137" s="520">
        <f>SUM(Q33:Q136)+Q30</f>
        <v>0</v>
      </c>
    </row>
    <row r="138" spans="1:18" s="291" customFormat="1">
      <c r="A138" s="315"/>
      <c r="B138" s="256"/>
      <c r="C138" s="256"/>
      <c r="D138" s="315"/>
      <c r="E138" s="315"/>
      <c r="F138" s="456"/>
      <c r="G138" s="456"/>
      <c r="H138" s="315"/>
      <c r="I138" s="315"/>
      <c r="J138" s="315"/>
      <c r="K138" s="315"/>
      <c r="L138" s="315"/>
      <c r="M138" s="718">
        <v>1312.5</v>
      </c>
      <c r="N138" s="315"/>
      <c r="O138" s="315"/>
      <c r="P138" s="315"/>
      <c r="Q138" s="315"/>
    </row>
    <row r="139" spans="1:18" s="291" customFormat="1" ht="15.75">
      <c r="A139" s="256"/>
      <c r="B139" s="521"/>
      <c r="C139" s="521"/>
      <c r="D139" s="522"/>
      <c r="E139" s="522"/>
      <c r="F139" s="523"/>
      <c r="G139" s="333"/>
      <c r="H139" s="256"/>
      <c r="I139" s="256"/>
      <c r="J139" s="256"/>
      <c r="K139" s="256"/>
      <c r="L139" s="256"/>
      <c r="M139" s="596">
        <f>SUM(M33:M138)</f>
        <v>1312.5</v>
      </c>
      <c r="N139" s="256"/>
      <c r="O139" s="256"/>
      <c r="P139" s="256"/>
      <c r="Q139" s="256"/>
    </row>
    <row r="140" spans="1:18" s="519" customFormat="1">
      <c r="A140" s="256"/>
      <c r="B140" s="256"/>
      <c r="C140" s="256"/>
      <c r="D140" s="256"/>
      <c r="E140" s="256"/>
      <c r="F140" s="523"/>
      <c r="G140" s="333"/>
      <c r="H140" s="256"/>
      <c r="I140" s="256"/>
      <c r="J140" s="256"/>
      <c r="K140" s="256"/>
      <c r="L140" s="256"/>
      <c r="M140" s="256"/>
      <c r="N140" s="256"/>
      <c r="O140" s="256"/>
      <c r="P140" s="256"/>
      <c r="Q140" s="256"/>
    </row>
    <row r="141" spans="1:18" s="519" customFormat="1">
      <c r="A141" s="256"/>
      <c r="B141" s="256"/>
      <c r="C141" s="256"/>
      <c r="D141" s="256"/>
      <c r="E141" s="256"/>
      <c r="F141" s="333"/>
      <c r="G141" s="333"/>
      <c r="H141" s="256"/>
      <c r="I141" s="256"/>
      <c r="J141" s="256"/>
      <c r="K141" s="256"/>
      <c r="L141" s="256"/>
      <c r="M141" s="256"/>
      <c r="N141" s="256"/>
      <c r="O141" s="256"/>
      <c r="P141" s="256"/>
      <c r="Q141" s="256"/>
    </row>
    <row r="142" spans="1:18" s="524" customFormat="1" hidden="1">
      <c r="A142" s="256"/>
      <c r="B142" s="256"/>
      <c r="C142" s="256"/>
      <c r="D142" s="256"/>
      <c r="E142" s="256"/>
      <c r="F142" s="333"/>
      <c r="G142" s="333"/>
      <c r="H142" s="256"/>
      <c r="I142" s="256"/>
      <c r="J142" s="256"/>
      <c r="K142" s="256"/>
      <c r="L142" s="256"/>
      <c r="M142" s="256"/>
      <c r="N142" s="256"/>
      <c r="O142" s="256"/>
      <c r="P142" s="256"/>
      <c r="Q142" s="256"/>
    </row>
    <row r="143" spans="1:18" s="519" customFormat="1">
      <c r="A143" s="256"/>
      <c r="B143" s="256"/>
      <c r="C143" s="256"/>
      <c r="D143" s="256"/>
      <c r="E143" s="256"/>
      <c r="F143" s="333"/>
      <c r="G143" s="333"/>
      <c r="H143" s="256"/>
      <c r="I143" s="256"/>
      <c r="J143" s="256"/>
      <c r="K143" s="256"/>
      <c r="L143" s="256"/>
      <c r="M143" s="256"/>
      <c r="N143" s="256"/>
      <c r="O143" s="256"/>
      <c r="P143" s="256"/>
      <c r="Q143" s="256"/>
    </row>
    <row r="144" spans="1:18" s="315" customFormat="1">
      <c r="A144" s="256"/>
      <c r="B144" s="256"/>
      <c r="C144" s="256"/>
      <c r="D144" s="256"/>
      <c r="E144" s="256"/>
      <c r="F144" s="333"/>
      <c r="G144" s="333"/>
      <c r="H144" s="256"/>
      <c r="I144" s="256"/>
      <c r="J144" s="256"/>
      <c r="K144" s="256"/>
      <c r="L144" s="256"/>
      <c r="M144" s="256"/>
      <c r="N144" s="256"/>
      <c r="O144" s="256"/>
      <c r="P144" s="256"/>
      <c r="Q144" s="256"/>
    </row>
    <row r="157" spans="2:3">
      <c r="B157" s="258"/>
      <c r="C157" s="258"/>
    </row>
  </sheetData>
  <mergeCells count="19">
    <mergeCell ref="A26:Q26"/>
    <mergeCell ref="A4:O4"/>
    <mergeCell ref="A5:O5"/>
    <mergeCell ref="H8:J8"/>
    <mergeCell ref="D20:D21"/>
    <mergeCell ref="A25:Q25"/>
    <mergeCell ref="A32:Q32"/>
    <mergeCell ref="A33:A136"/>
    <mergeCell ref="D137:F137"/>
    <mergeCell ref="F28:G28"/>
    <mergeCell ref="H28:Q28"/>
    <mergeCell ref="A30:A31"/>
    <mergeCell ref="B30:B31"/>
    <mergeCell ref="G30:G31"/>
    <mergeCell ref="I30:I31"/>
    <mergeCell ref="K30:K31"/>
    <mergeCell ref="M30:M31"/>
    <mergeCell ref="O30:O31"/>
    <mergeCell ref="Q30:Q31"/>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44CE6-E41B-43C9-8E45-39AB413103DE}">
  <sheetPr>
    <tabColor indexed="62"/>
  </sheetPr>
  <dimension ref="A1:S179"/>
  <sheetViews>
    <sheetView topLeftCell="A23" zoomScale="90" zoomScaleNormal="90" workbookViewId="0">
      <selection activeCell="C32" sqref="C32"/>
    </sheetView>
  </sheetViews>
  <sheetFormatPr defaultColWidth="8.85546875" defaultRowHeight="15.75"/>
  <cols>
    <col min="1" max="1" width="14" style="139" customWidth="1"/>
    <col min="2" max="2" width="8.7109375" style="139" customWidth="1"/>
    <col min="3" max="3" width="20.140625" style="139" customWidth="1"/>
    <col min="4" max="4" width="51" style="139" customWidth="1"/>
    <col min="5" max="5" width="17" style="139" customWidth="1"/>
    <col min="6" max="6" width="18.28515625" style="333" customWidth="1"/>
    <col min="7" max="7" width="16" style="333"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315" t="s">
        <v>1281</v>
      </c>
      <c r="B4" s="1020"/>
      <c r="C4" s="1020"/>
      <c r="D4" s="1020"/>
      <c r="E4" s="1020"/>
      <c r="F4" s="1020"/>
      <c r="G4" s="1020"/>
      <c r="H4" s="1020"/>
      <c r="I4" s="1020"/>
      <c r="J4" s="1020"/>
      <c r="K4" s="1020"/>
      <c r="L4" s="1020"/>
      <c r="M4" s="1020"/>
      <c r="N4" s="1020"/>
      <c r="O4" s="1020"/>
      <c r="P4" s="256"/>
      <c r="Q4" s="256"/>
    </row>
    <row r="5" spans="1:17" s="149" customFormat="1" ht="46.5" customHeight="1">
      <c r="A5" s="1316" t="s">
        <v>1282</v>
      </c>
      <c r="B5" s="1045"/>
      <c r="C5" s="1045"/>
      <c r="D5" s="1045"/>
      <c r="E5" s="1045"/>
      <c r="F5" s="1045"/>
      <c r="G5" s="1045"/>
      <c r="H5" s="1045"/>
      <c r="I5" s="1045"/>
      <c r="J5" s="1045"/>
      <c r="K5" s="1045"/>
      <c r="L5" s="1045"/>
      <c r="M5" s="1045"/>
      <c r="N5" s="1045"/>
      <c r="O5" s="1045"/>
      <c r="P5" s="266"/>
      <c r="Q5" s="266"/>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317" t="s">
        <v>0</v>
      </c>
      <c r="G8" s="1317"/>
      <c r="H8" s="1317"/>
      <c r="I8" s="1317"/>
      <c r="J8" s="139"/>
      <c r="K8" s="139"/>
      <c r="L8" s="139"/>
    </row>
    <row r="9" spans="1:17" s="148" customFormat="1" ht="14.25">
      <c r="F9" s="182" t="s">
        <v>261</v>
      </c>
      <c r="G9" s="265" t="s">
        <v>1283</v>
      </c>
      <c r="I9" s="159"/>
      <c r="J9" s="159"/>
      <c r="L9" s="159"/>
    </row>
    <row r="10" spans="1:17" s="148" customFormat="1" ht="14.25">
      <c r="F10" s="182" t="s">
        <v>7</v>
      </c>
      <c r="G10" s="408" t="s">
        <v>1284</v>
      </c>
      <c r="I10" s="159"/>
      <c r="J10" s="159"/>
      <c r="L10" s="159"/>
    </row>
    <row r="11" spans="1:17" s="148" customFormat="1" ht="14.25">
      <c r="F11" s="182" t="s">
        <v>8</v>
      </c>
      <c r="G11" s="408" t="s">
        <v>1285</v>
      </c>
      <c r="I11" s="159"/>
      <c r="J11" s="159"/>
      <c r="L11" s="159"/>
    </row>
    <row r="12" spans="1:17" s="148" customFormat="1" ht="14.25">
      <c r="F12" s="182" t="s">
        <v>10</v>
      </c>
      <c r="G12" s="408" t="s">
        <v>1286</v>
      </c>
      <c r="I12" s="159"/>
      <c r="J12" s="159"/>
      <c r="L12" s="159"/>
    </row>
    <row r="13" spans="1:17" s="148" customFormat="1" ht="14.25">
      <c r="D13" s="160"/>
      <c r="E13" s="160"/>
      <c r="F13" s="182" t="s">
        <v>185</v>
      </c>
      <c r="G13" s="408" t="s">
        <v>1287</v>
      </c>
      <c r="I13" s="159"/>
      <c r="J13" s="159"/>
      <c r="L13" s="159"/>
    </row>
    <row r="14" spans="1:17" s="148" customFormat="1" ht="14.25">
      <c r="F14" s="182"/>
      <c r="G14" s="408" t="s">
        <v>1288</v>
      </c>
      <c r="I14" s="159"/>
      <c r="J14" s="159"/>
      <c r="L14" s="159"/>
    </row>
    <row r="15" spans="1:17" s="148" customFormat="1" ht="14.25">
      <c r="F15" s="182" t="s">
        <v>14</v>
      </c>
      <c r="G15" s="408" t="s">
        <v>272</v>
      </c>
      <c r="I15" s="159"/>
      <c r="J15" s="159"/>
      <c r="L15" s="887"/>
    </row>
    <row r="16" spans="1:17" s="148" customFormat="1" ht="14.25">
      <c r="F16" s="182" t="s">
        <v>18</v>
      </c>
      <c r="G16" s="408" t="s">
        <v>1289</v>
      </c>
      <c r="I16" s="162"/>
      <c r="J16" s="162"/>
      <c r="L16" s="162"/>
    </row>
    <row r="17" spans="1:19" s="148" customFormat="1" ht="14.25">
      <c r="F17" s="182" t="s">
        <v>276</v>
      </c>
      <c r="G17" s="408" t="s">
        <v>1290</v>
      </c>
      <c r="I17" s="162"/>
      <c r="J17" s="162"/>
      <c r="L17" s="162"/>
    </row>
    <row r="18" spans="1:19" s="148" customFormat="1" ht="14.25">
      <c r="F18" s="182" t="s">
        <v>26</v>
      </c>
      <c r="G18" s="408" t="s">
        <v>1291</v>
      </c>
      <c r="I18" s="162"/>
      <c r="J18" s="162"/>
      <c r="L18" s="162"/>
    </row>
    <row r="19" spans="1:19" s="148" customFormat="1" ht="14.25">
      <c r="F19" s="182" t="s">
        <v>28</v>
      </c>
      <c r="G19" s="408" t="s">
        <v>1292</v>
      </c>
      <c r="I19" s="162"/>
      <c r="J19" s="162"/>
      <c r="L19" s="162"/>
    </row>
    <row r="20" spans="1:19" s="148" customFormat="1" ht="14.25">
      <c r="F20" s="182"/>
      <c r="G20" s="408"/>
      <c r="I20" s="162"/>
      <c r="J20" s="162"/>
      <c r="L20" s="162"/>
    </row>
    <row r="21" spans="1:19" s="148" customFormat="1" ht="14.25">
      <c r="F21" s="182"/>
      <c r="G21" s="408"/>
      <c r="I21" s="162"/>
      <c r="J21" s="162"/>
      <c r="L21" s="162"/>
    </row>
    <row r="22" spans="1:19" s="148" customFormat="1" ht="14.25">
      <c r="D22" s="165"/>
      <c r="E22" s="165"/>
      <c r="F22" s="182"/>
      <c r="G22" s="409"/>
      <c r="K22" s="162"/>
    </row>
    <row r="23" spans="1:19" s="265" customFormat="1" ht="16.5" customHeight="1">
      <c r="A23" s="1179" t="s">
        <v>30</v>
      </c>
      <c r="B23" s="1179"/>
      <c r="C23" s="1179"/>
      <c r="D23" s="1179"/>
      <c r="E23" s="1179"/>
      <c r="F23" s="1179"/>
      <c r="G23" s="1179"/>
      <c r="H23" s="1179"/>
      <c r="I23" s="1179"/>
      <c r="J23" s="1179"/>
      <c r="K23" s="1179"/>
      <c r="L23" s="1179"/>
      <c r="M23" s="1179"/>
      <c r="N23" s="1179"/>
      <c r="O23" s="1179"/>
      <c r="P23" s="1179"/>
      <c r="Q23" s="1179"/>
    </row>
    <row r="24" spans="1:19" s="265" customFormat="1" ht="13.9" customHeight="1">
      <c r="A24" s="1318" t="s">
        <v>1065</v>
      </c>
      <c r="B24" s="1319"/>
      <c r="C24" s="1319"/>
      <c r="D24" s="1319"/>
      <c r="E24" s="1319"/>
      <c r="F24" s="1319"/>
      <c r="G24" s="1319"/>
      <c r="H24" s="1319"/>
      <c r="I24" s="1319"/>
      <c r="J24" s="1319"/>
      <c r="K24" s="1319"/>
      <c r="L24" s="1319"/>
      <c r="M24" s="1319"/>
      <c r="N24" s="1319"/>
      <c r="O24" s="1319"/>
      <c r="P24" s="1319"/>
      <c r="Q24" s="1319"/>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1021" t="s">
        <v>43</v>
      </c>
      <c r="G27" s="1022"/>
      <c r="H27" s="1312" t="s">
        <v>44</v>
      </c>
      <c r="I27" s="1313"/>
      <c r="J27" s="1313"/>
      <c r="K27" s="1313"/>
      <c r="L27" s="1313"/>
      <c r="M27" s="1313"/>
      <c r="N27" s="1313"/>
      <c r="O27" s="1313"/>
      <c r="P27" s="1313"/>
      <c r="Q27" s="1314"/>
    </row>
    <row r="28" spans="1:19" s="170" customFormat="1" ht="63.75" customHeight="1" thickBot="1">
      <c r="A28" s="168" t="s">
        <v>45</v>
      </c>
      <c r="B28" s="168" t="s">
        <v>46</v>
      </c>
      <c r="C28" s="169" t="s">
        <v>47</v>
      </c>
      <c r="D28" s="169" t="s">
        <v>48</v>
      </c>
      <c r="E28" s="169" t="s">
        <v>49</v>
      </c>
      <c r="F28" s="169" t="s">
        <v>50</v>
      </c>
      <c r="G28" s="168" t="s">
        <v>51</v>
      </c>
      <c r="H28" s="169" t="s">
        <v>53</v>
      </c>
      <c r="I28" s="168" t="s">
        <v>51</v>
      </c>
      <c r="J28" s="169" t="s">
        <v>54</v>
      </c>
      <c r="K28" s="168" t="s">
        <v>51</v>
      </c>
      <c r="L28" s="169" t="s">
        <v>55</v>
      </c>
      <c r="M28" s="168" t="s">
        <v>51</v>
      </c>
      <c r="N28" s="169" t="s">
        <v>847</v>
      </c>
      <c r="O28" s="168" t="s">
        <v>51</v>
      </c>
      <c r="P28" s="169" t="s">
        <v>848</v>
      </c>
      <c r="Q28" s="168" t="s">
        <v>51</v>
      </c>
    </row>
    <row r="29" spans="1:19" s="171" customFormat="1" ht="26.25" customHeight="1" thickBot="1">
      <c r="A29" s="1306" t="s">
        <v>1293</v>
      </c>
      <c r="B29" s="1308"/>
      <c r="C29" s="425" t="s">
        <v>4094</v>
      </c>
      <c r="D29" s="183" t="s">
        <v>1294</v>
      </c>
      <c r="E29" s="953">
        <v>59153.33</v>
      </c>
      <c r="F29" s="28">
        <f>SUM(E29:E30)*(1-61%)</f>
        <v>23170.808700000001</v>
      </c>
      <c r="G29" s="1011">
        <f>F29*B29</f>
        <v>0</v>
      </c>
      <c r="H29" s="29">
        <f>F29*0.03137</f>
        <v>726.86826891900012</v>
      </c>
      <c r="I29" s="1011">
        <f>H29*B29</f>
        <v>0</v>
      </c>
      <c r="J29" s="29">
        <f>F29*0.0274</f>
        <v>634.88015838000001</v>
      </c>
      <c r="K29" s="1011">
        <f>J29*B29</f>
        <v>0</v>
      </c>
      <c r="L29" s="410">
        <f>F29*0.0228</f>
        <v>528.29443836000007</v>
      </c>
      <c r="M29" s="1011">
        <f>L29*B29</f>
        <v>0</v>
      </c>
      <c r="N29" s="410">
        <f>F29*0.0204</f>
        <v>472.68449748000006</v>
      </c>
      <c r="O29" s="1011">
        <f>N29*B29</f>
        <v>0</v>
      </c>
      <c r="P29" s="410">
        <f>F29*0.0185</f>
        <v>428.65996095000003</v>
      </c>
      <c r="Q29" s="1011">
        <f>P29*B29</f>
        <v>0</v>
      </c>
    </row>
    <row r="30" spans="1:19" s="180" customFormat="1" ht="13.5" customHeight="1" thickBot="1">
      <c r="A30" s="1307"/>
      <c r="B30" s="1309"/>
      <c r="C30" s="411" t="s">
        <v>424</v>
      </c>
      <c r="D30" s="412" t="s">
        <v>57</v>
      </c>
      <c r="E30" s="413">
        <v>259</v>
      </c>
      <c r="F30" s="306" t="s">
        <v>35</v>
      </c>
      <c r="G30" s="1310"/>
      <c r="H30" s="306" t="s">
        <v>35</v>
      </c>
      <c r="I30" s="1310"/>
      <c r="J30" s="306" t="s">
        <v>35</v>
      </c>
      <c r="K30" s="1310"/>
      <c r="L30" s="301" t="s">
        <v>35</v>
      </c>
      <c r="M30" s="1311"/>
      <c r="N30" s="301" t="s">
        <v>35</v>
      </c>
      <c r="O30" s="1299"/>
      <c r="P30" s="301" t="s">
        <v>35</v>
      </c>
      <c r="Q30" s="1299"/>
    </row>
    <row r="31" spans="1:19" s="180" customFormat="1" ht="13.9" customHeight="1" thickBot="1">
      <c r="A31" s="1300" t="s">
        <v>59</v>
      </c>
      <c r="B31" s="1301"/>
      <c r="C31" s="1301"/>
      <c r="D31" s="1301"/>
      <c r="E31" s="1301"/>
      <c r="F31" s="1301"/>
      <c r="G31" s="1301"/>
      <c r="H31" s="1301"/>
      <c r="I31" s="1301"/>
      <c r="J31" s="1301"/>
      <c r="K31" s="1301"/>
      <c r="L31" s="1301"/>
      <c r="M31" s="1301"/>
      <c r="N31" s="1301"/>
      <c r="O31" s="1301"/>
      <c r="P31" s="1301"/>
      <c r="Q31" s="1302"/>
      <c r="R31" s="415"/>
      <c r="S31" s="415"/>
    </row>
    <row r="32" spans="1:19" s="180" customFormat="1" ht="13.5" thickBot="1">
      <c r="A32" s="414"/>
      <c r="B32" s="886"/>
      <c r="C32" s="417" t="s">
        <v>1177</v>
      </c>
      <c r="D32" s="952" t="s">
        <v>3979</v>
      </c>
      <c r="E32" s="889">
        <v>499</v>
      </c>
      <c r="F32" s="8">
        <f t="shared" ref="F32:F52" si="0">E32*(1-45%)</f>
        <v>274.45000000000005</v>
      </c>
      <c r="G32" s="10">
        <f t="shared" ref="G32:G52" si="1">F32*B32</f>
        <v>0</v>
      </c>
      <c r="H32" s="11">
        <f t="shared" ref="H32:H75" si="2">F32*0.03137</f>
        <v>8.6094965000000023</v>
      </c>
      <c r="I32" s="11">
        <f t="shared" ref="I32:I75" si="3">H32*B32</f>
        <v>0</v>
      </c>
      <c r="J32" s="11">
        <f t="shared" ref="J32:J64" si="4">F32*0.0274</f>
        <v>7.5199300000000013</v>
      </c>
      <c r="K32" s="11">
        <f t="shared" ref="K32:K75" si="5">J32*B32</f>
        <v>0</v>
      </c>
      <c r="L32" s="11">
        <f t="shared" ref="L32:L64" si="6">F32*0.0228</f>
        <v>6.2574600000000009</v>
      </c>
      <c r="M32" s="11">
        <f t="shared" ref="M32:M75" si="7">L32*B32</f>
        <v>0</v>
      </c>
      <c r="N32" s="11">
        <f t="shared" ref="N32:N75" si="8">F32*0.0204</f>
        <v>5.5987800000000014</v>
      </c>
      <c r="O32" s="11">
        <f t="shared" ref="O32:O75" si="9">N32*B32</f>
        <v>0</v>
      </c>
      <c r="P32" s="11">
        <f t="shared" ref="P32:P75" si="10">F32*0.0185</f>
        <v>5.077325000000001</v>
      </c>
      <c r="Q32" s="11">
        <f t="shared" ref="Q32:Q75" si="11">P32*B32</f>
        <v>0</v>
      </c>
      <c r="R32" s="531"/>
      <c r="S32" s="415"/>
    </row>
    <row r="33" spans="1:19" s="180" customFormat="1" ht="13.5" thickBot="1">
      <c r="A33" s="421"/>
      <c r="B33" s="416"/>
      <c r="C33" s="417" t="s">
        <v>3980</v>
      </c>
      <c r="D33" s="418" t="s">
        <v>3981</v>
      </c>
      <c r="E33" s="889">
        <v>5000</v>
      </c>
      <c r="F33" s="8">
        <f t="shared" si="0"/>
        <v>2750</v>
      </c>
      <c r="G33" s="10">
        <f t="shared" si="1"/>
        <v>0</v>
      </c>
      <c r="H33" s="11">
        <f t="shared" si="2"/>
        <v>86.267500000000013</v>
      </c>
      <c r="I33" s="11">
        <f t="shared" si="3"/>
        <v>0</v>
      </c>
      <c r="J33" s="11">
        <f t="shared" si="4"/>
        <v>75.350000000000009</v>
      </c>
      <c r="K33" s="11">
        <f t="shared" si="5"/>
        <v>0</v>
      </c>
      <c r="L33" s="11">
        <f t="shared" si="6"/>
        <v>62.7</v>
      </c>
      <c r="M33" s="11">
        <f t="shared" si="7"/>
        <v>0</v>
      </c>
      <c r="N33" s="11">
        <f t="shared" si="8"/>
        <v>56.1</v>
      </c>
      <c r="O33" s="11">
        <f t="shared" si="9"/>
        <v>0</v>
      </c>
      <c r="P33" s="11">
        <f t="shared" si="10"/>
        <v>50.875</v>
      </c>
      <c r="Q33" s="11">
        <f t="shared" si="11"/>
        <v>0</v>
      </c>
      <c r="R33" s="531"/>
      <c r="S33" s="415"/>
    </row>
    <row r="34" spans="1:19" s="180" customFormat="1" ht="13.5" thickBot="1">
      <c r="A34" s="421"/>
      <c r="B34" s="416"/>
      <c r="C34" s="419" t="s">
        <v>105</v>
      </c>
      <c r="D34" s="420" t="s">
        <v>325</v>
      </c>
      <c r="E34" s="889">
        <v>399</v>
      </c>
      <c r="F34" s="8">
        <f t="shared" si="0"/>
        <v>219.45000000000002</v>
      </c>
      <c r="G34" s="10">
        <f t="shared" si="1"/>
        <v>0</v>
      </c>
      <c r="H34" s="11">
        <f t="shared" si="2"/>
        <v>6.8841465000000008</v>
      </c>
      <c r="I34" s="11">
        <f t="shared" si="3"/>
        <v>0</v>
      </c>
      <c r="J34" s="11">
        <f t="shared" si="4"/>
        <v>6.0129300000000008</v>
      </c>
      <c r="K34" s="11">
        <f t="shared" si="5"/>
        <v>0</v>
      </c>
      <c r="L34" s="11">
        <f t="shared" si="6"/>
        <v>5.0034600000000005</v>
      </c>
      <c r="M34" s="11">
        <f t="shared" si="7"/>
        <v>0</v>
      </c>
      <c r="N34" s="11">
        <f t="shared" si="8"/>
        <v>4.4767800000000006</v>
      </c>
      <c r="O34" s="11">
        <f t="shared" si="9"/>
        <v>0</v>
      </c>
      <c r="P34" s="11">
        <f t="shared" si="10"/>
        <v>4.059825</v>
      </c>
      <c r="Q34" s="11">
        <f t="shared" si="11"/>
        <v>0</v>
      </c>
      <c r="R34" s="531"/>
      <c r="S34" s="415"/>
    </row>
    <row r="35" spans="1:19" s="180" customFormat="1" ht="13.5" thickBot="1">
      <c r="A35" s="421"/>
      <c r="B35" s="416"/>
      <c r="C35" s="419" t="s">
        <v>3982</v>
      </c>
      <c r="D35" s="420" t="s">
        <v>3983</v>
      </c>
      <c r="E35" s="889">
        <v>2800</v>
      </c>
      <c r="F35" s="8">
        <f t="shared" si="0"/>
        <v>1540.0000000000002</v>
      </c>
      <c r="G35" s="10">
        <f t="shared" si="1"/>
        <v>0</v>
      </c>
      <c r="H35" s="11">
        <f t="shared" si="2"/>
        <v>48.30980000000001</v>
      </c>
      <c r="I35" s="11">
        <f t="shared" si="3"/>
        <v>0</v>
      </c>
      <c r="J35" s="11">
        <f t="shared" si="4"/>
        <v>42.196000000000005</v>
      </c>
      <c r="K35" s="11">
        <f t="shared" si="5"/>
        <v>0</v>
      </c>
      <c r="L35" s="11">
        <f t="shared" si="6"/>
        <v>35.112000000000009</v>
      </c>
      <c r="M35" s="11">
        <f t="shared" si="7"/>
        <v>0</v>
      </c>
      <c r="N35" s="11">
        <f t="shared" si="8"/>
        <v>31.416000000000007</v>
      </c>
      <c r="O35" s="11">
        <f t="shared" si="9"/>
        <v>0</v>
      </c>
      <c r="P35" s="11">
        <f t="shared" si="10"/>
        <v>28.490000000000002</v>
      </c>
      <c r="Q35" s="11">
        <f t="shared" si="11"/>
        <v>0</v>
      </c>
      <c r="R35" s="531"/>
      <c r="S35" s="415"/>
    </row>
    <row r="36" spans="1:19" s="180" customFormat="1" ht="13.5" thickBot="1">
      <c r="A36" s="421"/>
      <c r="B36" s="416"/>
      <c r="C36" s="419" t="s">
        <v>3984</v>
      </c>
      <c r="D36" s="420" t="s">
        <v>3985</v>
      </c>
      <c r="E36" s="889">
        <v>168.14</v>
      </c>
      <c r="F36" s="8">
        <f t="shared" si="0"/>
        <v>92.477000000000004</v>
      </c>
      <c r="G36" s="10">
        <f t="shared" si="1"/>
        <v>0</v>
      </c>
      <c r="H36" s="11">
        <f t="shared" si="2"/>
        <v>2.9010034900000004</v>
      </c>
      <c r="I36" s="11">
        <f t="shared" si="3"/>
        <v>0</v>
      </c>
      <c r="J36" s="11">
        <f t="shared" si="4"/>
        <v>2.5338698000000002</v>
      </c>
      <c r="K36" s="11">
        <f t="shared" si="5"/>
        <v>0</v>
      </c>
      <c r="L36" s="11">
        <f t="shared" si="6"/>
        <v>2.1084756000000002</v>
      </c>
      <c r="M36" s="11">
        <f t="shared" si="7"/>
        <v>0</v>
      </c>
      <c r="N36" s="11">
        <f t="shared" si="8"/>
        <v>1.8865308000000003</v>
      </c>
      <c r="O36" s="11">
        <f t="shared" si="9"/>
        <v>0</v>
      </c>
      <c r="P36" s="11">
        <f t="shared" si="10"/>
        <v>1.7108245</v>
      </c>
      <c r="Q36" s="11">
        <f t="shared" si="11"/>
        <v>0</v>
      </c>
      <c r="R36" s="531"/>
      <c r="S36" s="415"/>
    </row>
    <row r="37" spans="1:19" s="180" customFormat="1" ht="13.5" thickBot="1">
      <c r="A37" s="421"/>
      <c r="B37" s="416"/>
      <c r="C37" s="419" t="s">
        <v>1295</v>
      </c>
      <c r="D37" s="420" t="s">
        <v>1296</v>
      </c>
      <c r="E37" s="889">
        <v>3567.56</v>
      </c>
      <c r="F37" s="8">
        <f t="shared" si="0"/>
        <v>1962.1580000000001</v>
      </c>
      <c r="G37" s="10">
        <f t="shared" si="1"/>
        <v>0</v>
      </c>
      <c r="H37" s="11">
        <f t="shared" si="2"/>
        <v>61.552896460000007</v>
      </c>
      <c r="I37" s="11">
        <f t="shared" si="3"/>
        <v>0</v>
      </c>
      <c r="J37" s="11">
        <f t="shared" si="4"/>
        <v>53.763129200000002</v>
      </c>
      <c r="K37" s="11">
        <f t="shared" si="5"/>
        <v>0</v>
      </c>
      <c r="L37" s="11">
        <f t="shared" si="6"/>
        <v>44.737202400000001</v>
      </c>
      <c r="M37" s="11">
        <f t="shared" si="7"/>
        <v>0</v>
      </c>
      <c r="N37" s="11">
        <f t="shared" si="8"/>
        <v>40.028023200000007</v>
      </c>
      <c r="O37" s="11">
        <f t="shared" si="9"/>
        <v>0</v>
      </c>
      <c r="P37" s="11">
        <f t="shared" si="10"/>
        <v>36.299923</v>
      </c>
      <c r="Q37" s="11">
        <f t="shared" si="11"/>
        <v>0</v>
      </c>
      <c r="R37" s="531"/>
      <c r="S37" s="415"/>
    </row>
    <row r="38" spans="1:19" s="180" customFormat="1" ht="13.5" thickBot="1">
      <c r="A38" s="421"/>
      <c r="B38" s="416"/>
      <c r="C38" s="417" t="s">
        <v>1297</v>
      </c>
      <c r="D38" s="418" t="s">
        <v>1298</v>
      </c>
      <c r="E38" s="889">
        <v>6606.6</v>
      </c>
      <c r="F38" s="8">
        <f t="shared" si="0"/>
        <v>3633.6300000000006</v>
      </c>
      <c r="G38" s="10">
        <f t="shared" si="1"/>
        <v>0</v>
      </c>
      <c r="H38" s="11">
        <f t="shared" si="2"/>
        <v>113.98697310000003</v>
      </c>
      <c r="I38" s="11">
        <f t="shared" si="3"/>
        <v>0</v>
      </c>
      <c r="J38" s="11">
        <f t="shared" si="4"/>
        <v>99.56146200000002</v>
      </c>
      <c r="K38" s="11">
        <f t="shared" si="5"/>
        <v>0</v>
      </c>
      <c r="L38" s="11">
        <f t="shared" si="6"/>
        <v>82.846764000000022</v>
      </c>
      <c r="M38" s="11">
        <f t="shared" si="7"/>
        <v>0</v>
      </c>
      <c r="N38" s="11">
        <f t="shared" si="8"/>
        <v>74.126052000000016</v>
      </c>
      <c r="O38" s="11">
        <f t="shared" si="9"/>
        <v>0</v>
      </c>
      <c r="P38" s="11">
        <f t="shared" si="10"/>
        <v>67.222155000000001</v>
      </c>
      <c r="Q38" s="11">
        <f t="shared" si="11"/>
        <v>0</v>
      </c>
      <c r="R38" s="531"/>
      <c r="S38" s="415"/>
    </row>
    <row r="39" spans="1:19" s="180" customFormat="1" ht="13.5" thickBot="1">
      <c r="A39" s="421"/>
      <c r="B39" s="416"/>
      <c r="C39" s="419" t="s">
        <v>293</v>
      </c>
      <c r="D39" s="420" t="s">
        <v>3927</v>
      </c>
      <c r="E39" s="889">
        <v>1076.48</v>
      </c>
      <c r="F39" s="8">
        <f t="shared" si="0"/>
        <v>592.06400000000008</v>
      </c>
      <c r="G39" s="10">
        <f t="shared" si="1"/>
        <v>0</v>
      </c>
      <c r="H39" s="11">
        <f t="shared" si="2"/>
        <v>18.573047680000002</v>
      </c>
      <c r="I39" s="11">
        <f t="shared" si="3"/>
        <v>0</v>
      </c>
      <c r="J39" s="11">
        <f t="shared" si="4"/>
        <v>16.222553600000001</v>
      </c>
      <c r="K39" s="11">
        <f t="shared" si="5"/>
        <v>0</v>
      </c>
      <c r="L39" s="11">
        <f t="shared" si="6"/>
        <v>13.499059200000003</v>
      </c>
      <c r="M39" s="11">
        <f t="shared" si="7"/>
        <v>0</v>
      </c>
      <c r="N39" s="11">
        <f t="shared" si="8"/>
        <v>12.078105600000002</v>
      </c>
      <c r="O39" s="11">
        <f t="shared" si="9"/>
        <v>0</v>
      </c>
      <c r="P39" s="11">
        <f t="shared" si="10"/>
        <v>10.953184</v>
      </c>
      <c r="Q39" s="11">
        <f t="shared" si="11"/>
        <v>0</v>
      </c>
      <c r="R39" s="531"/>
      <c r="S39" s="415"/>
    </row>
    <row r="40" spans="1:19" s="180" customFormat="1" ht="13.5" thickBot="1">
      <c r="A40" s="421"/>
      <c r="B40" s="416"/>
      <c r="C40" s="419" t="s">
        <v>1299</v>
      </c>
      <c r="D40" s="420" t="s">
        <v>1300</v>
      </c>
      <c r="E40" s="889">
        <v>924.92</v>
      </c>
      <c r="F40" s="8">
        <f t="shared" si="0"/>
        <v>508.70600000000002</v>
      </c>
      <c r="G40" s="10">
        <f t="shared" si="1"/>
        <v>0</v>
      </c>
      <c r="H40" s="11">
        <f t="shared" si="2"/>
        <v>15.958107220000002</v>
      </c>
      <c r="I40" s="11">
        <f t="shared" si="3"/>
        <v>0</v>
      </c>
      <c r="J40" s="11">
        <f t="shared" si="4"/>
        <v>13.938544400000001</v>
      </c>
      <c r="K40" s="11">
        <f t="shared" si="5"/>
        <v>0</v>
      </c>
      <c r="L40" s="11">
        <f t="shared" si="6"/>
        <v>11.598496800000001</v>
      </c>
      <c r="M40" s="11">
        <f t="shared" si="7"/>
        <v>0</v>
      </c>
      <c r="N40" s="11">
        <f t="shared" si="8"/>
        <v>10.377602400000001</v>
      </c>
      <c r="O40" s="11">
        <f t="shared" si="9"/>
        <v>0</v>
      </c>
      <c r="P40" s="11">
        <f t="shared" si="10"/>
        <v>9.4110610000000001</v>
      </c>
      <c r="Q40" s="11">
        <f t="shared" si="11"/>
        <v>0</v>
      </c>
      <c r="R40" s="531"/>
      <c r="S40" s="415"/>
    </row>
    <row r="41" spans="1:19" s="180" customFormat="1" ht="13.5" thickBot="1">
      <c r="A41" s="421"/>
      <c r="B41" s="416"/>
      <c r="C41" s="419">
        <v>45206712</v>
      </c>
      <c r="D41" s="420" t="s">
        <v>3986</v>
      </c>
      <c r="E41" s="889">
        <v>2625</v>
      </c>
      <c r="F41" s="8">
        <f t="shared" si="0"/>
        <v>1443.7500000000002</v>
      </c>
      <c r="G41" s="10">
        <f t="shared" si="1"/>
        <v>0</v>
      </c>
      <c r="H41" s="11">
        <f t="shared" si="2"/>
        <v>45.29043750000001</v>
      </c>
      <c r="I41" s="11">
        <f t="shared" si="3"/>
        <v>0</v>
      </c>
      <c r="J41" s="11">
        <f t="shared" si="4"/>
        <v>39.558750000000011</v>
      </c>
      <c r="K41" s="11">
        <f t="shared" si="5"/>
        <v>0</v>
      </c>
      <c r="L41" s="11">
        <f t="shared" si="6"/>
        <v>32.917500000000004</v>
      </c>
      <c r="M41" s="11">
        <f t="shared" si="7"/>
        <v>0</v>
      </c>
      <c r="N41" s="11">
        <f t="shared" si="8"/>
        <v>29.452500000000008</v>
      </c>
      <c r="O41" s="11">
        <f t="shared" si="9"/>
        <v>0</v>
      </c>
      <c r="P41" s="11">
        <f t="shared" si="10"/>
        <v>26.709375000000001</v>
      </c>
      <c r="Q41" s="11">
        <f t="shared" si="11"/>
        <v>0</v>
      </c>
      <c r="R41" s="531"/>
      <c r="S41" s="415"/>
    </row>
    <row r="42" spans="1:19" s="180" customFormat="1" ht="13.5" thickBot="1">
      <c r="A42" s="421"/>
      <c r="B42" s="416"/>
      <c r="C42" s="419">
        <v>45206719</v>
      </c>
      <c r="D42" s="420" t="s">
        <v>3987</v>
      </c>
      <c r="E42" s="889">
        <v>3150</v>
      </c>
      <c r="F42" s="8">
        <f t="shared" si="0"/>
        <v>1732.5000000000002</v>
      </c>
      <c r="G42" s="10">
        <f t="shared" si="1"/>
        <v>0</v>
      </c>
      <c r="H42" s="11">
        <f t="shared" si="2"/>
        <v>54.348525000000009</v>
      </c>
      <c r="I42" s="11">
        <f t="shared" si="3"/>
        <v>0</v>
      </c>
      <c r="J42" s="11">
        <f t="shared" si="4"/>
        <v>47.470500000000008</v>
      </c>
      <c r="K42" s="11">
        <f t="shared" si="5"/>
        <v>0</v>
      </c>
      <c r="L42" s="11">
        <f t="shared" si="6"/>
        <v>39.501000000000005</v>
      </c>
      <c r="M42" s="11">
        <f t="shared" si="7"/>
        <v>0</v>
      </c>
      <c r="N42" s="11">
        <f t="shared" si="8"/>
        <v>35.343000000000011</v>
      </c>
      <c r="O42" s="11">
        <f t="shared" si="9"/>
        <v>0</v>
      </c>
      <c r="P42" s="11">
        <f t="shared" si="10"/>
        <v>32.051250000000003</v>
      </c>
      <c r="Q42" s="11">
        <f t="shared" si="11"/>
        <v>0</v>
      </c>
      <c r="R42" s="531"/>
      <c r="S42" s="415"/>
    </row>
    <row r="43" spans="1:19" s="180" customFormat="1" ht="13.5" thickBot="1">
      <c r="A43" s="421"/>
      <c r="B43" s="416"/>
      <c r="C43" s="419" t="s">
        <v>1134</v>
      </c>
      <c r="D43" s="420" t="s">
        <v>1135</v>
      </c>
      <c r="E43" s="889">
        <v>6878.07</v>
      </c>
      <c r="F43" s="8">
        <f t="shared" si="0"/>
        <v>3782.9385000000002</v>
      </c>
      <c r="G43" s="10">
        <f t="shared" si="1"/>
        <v>0</v>
      </c>
      <c r="H43" s="11">
        <f t="shared" si="2"/>
        <v>118.67078074500002</v>
      </c>
      <c r="I43" s="11">
        <f t="shared" si="3"/>
        <v>0</v>
      </c>
      <c r="J43" s="11">
        <f t="shared" si="4"/>
        <v>103.65251490000001</v>
      </c>
      <c r="K43" s="11">
        <f t="shared" si="5"/>
        <v>0</v>
      </c>
      <c r="L43" s="11">
        <f t="shared" si="6"/>
        <v>86.250997800000007</v>
      </c>
      <c r="M43" s="11">
        <f t="shared" si="7"/>
        <v>0</v>
      </c>
      <c r="N43" s="11">
        <f t="shared" si="8"/>
        <v>77.171945400000013</v>
      </c>
      <c r="O43" s="11">
        <f t="shared" si="9"/>
        <v>0</v>
      </c>
      <c r="P43" s="11">
        <f t="shared" si="10"/>
        <v>69.984362250000004</v>
      </c>
      <c r="Q43" s="11">
        <f t="shared" si="11"/>
        <v>0</v>
      </c>
      <c r="R43" s="531"/>
      <c r="S43" s="415"/>
    </row>
    <row r="44" spans="1:19" s="180" customFormat="1" ht="13.5" thickBot="1">
      <c r="A44" s="421"/>
      <c r="B44" s="416"/>
      <c r="C44" s="501" t="s">
        <v>1301</v>
      </c>
      <c r="D44" s="420" t="s">
        <v>1302</v>
      </c>
      <c r="E44" s="889">
        <v>1765.76</v>
      </c>
      <c r="F44" s="8">
        <f t="shared" si="0"/>
        <v>971.16800000000012</v>
      </c>
      <c r="G44" s="10">
        <f t="shared" si="1"/>
        <v>0</v>
      </c>
      <c r="H44" s="11">
        <f t="shared" si="2"/>
        <v>30.465540160000007</v>
      </c>
      <c r="I44" s="11">
        <f t="shared" si="3"/>
        <v>0</v>
      </c>
      <c r="J44" s="11">
        <f t="shared" si="4"/>
        <v>26.610003200000005</v>
      </c>
      <c r="K44" s="11">
        <f t="shared" si="5"/>
        <v>0</v>
      </c>
      <c r="L44" s="11">
        <f t="shared" si="6"/>
        <v>22.142630400000005</v>
      </c>
      <c r="M44" s="11">
        <f t="shared" si="7"/>
        <v>0</v>
      </c>
      <c r="N44" s="11">
        <f t="shared" si="8"/>
        <v>19.811827200000003</v>
      </c>
      <c r="O44" s="11">
        <f t="shared" si="9"/>
        <v>0</v>
      </c>
      <c r="P44" s="11">
        <f t="shared" si="10"/>
        <v>17.966608000000001</v>
      </c>
      <c r="Q44" s="11">
        <f t="shared" si="11"/>
        <v>0</v>
      </c>
      <c r="R44" s="531"/>
      <c r="S44" s="415"/>
    </row>
    <row r="45" spans="1:19" s="180" customFormat="1" ht="13.5" thickBot="1">
      <c r="A45" s="421"/>
      <c r="B45" s="416"/>
      <c r="C45" s="417" t="s">
        <v>1303</v>
      </c>
      <c r="D45" s="418" t="s">
        <v>1304</v>
      </c>
      <c r="E45" s="889">
        <v>2795.19</v>
      </c>
      <c r="F45" s="8">
        <f t="shared" si="0"/>
        <v>1537.3545000000001</v>
      </c>
      <c r="G45" s="10">
        <f t="shared" si="1"/>
        <v>0</v>
      </c>
      <c r="H45" s="11">
        <f t="shared" si="2"/>
        <v>48.226810665000009</v>
      </c>
      <c r="I45" s="11">
        <f t="shared" si="3"/>
        <v>0</v>
      </c>
      <c r="J45" s="11">
        <f t="shared" si="4"/>
        <v>42.123513300000006</v>
      </c>
      <c r="K45" s="11">
        <f t="shared" si="5"/>
        <v>0</v>
      </c>
      <c r="L45" s="11">
        <f t="shared" si="6"/>
        <v>35.051682600000007</v>
      </c>
      <c r="M45" s="11">
        <f t="shared" si="7"/>
        <v>0</v>
      </c>
      <c r="N45" s="11">
        <f t="shared" si="8"/>
        <v>31.362031800000004</v>
      </c>
      <c r="O45" s="11">
        <f t="shared" si="9"/>
        <v>0</v>
      </c>
      <c r="P45" s="11">
        <f t="shared" si="10"/>
        <v>28.441058250000001</v>
      </c>
      <c r="Q45" s="11">
        <f t="shared" si="11"/>
        <v>0</v>
      </c>
      <c r="R45" s="531"/>
      <c r="S45" s="415"/>
    </row>
    <row r="46" spans="1:19" s="180" customFormat="1" ht="13.5" thickBot="1">
      <c r="A46" s="421"/>
      <c r="B46" s="416"/>
      <c r="C46" s="419" t="s">
        <v>1209</v>
      </c>
      <c r="D46" s="420" t="s">
        <v>1210</v>
      </c>
      <c r="E46" s="889">
        <v>3082.28</v>
      </c>
      <c r="F46" s="8">
        <f t="shared" si="0"/>
        <v>1695.2540000000004</v>
      </c>
      <c r="G46" s="10">
        <f t="shared" si="1"/>
        <v>0</v>
      </c>
      <c r="H46" s="11">
        <f t="shared" si="2"/>
        <v>53.180117980000013</v>
      </c>
      <c r="I46" s="11">
        <f t="shared" si="3"/>
        <v>0</v>
      </c>
      <c r="J46" s="11">
        <f t="shared" si="4"/>
        <v>46.449959600000014</v>
      </c>
      <c r="K46" s="11">
        <f t="shared" si="5"/>
        <v>0</v>
      </c>
      <c r="L46" s="11">
        <f t="shared" si="6"/>
        <v>38.651791200000012</v>
      </c>
      <c r="M46" s="11">
        <f t="shared" si="7"/>
        <v>0</v>
      </c>
      <c r="N46" s="11">
        <f t="shared" si="8"/>
        <v>34.58318160000001</v>
      </c>
      <c r="O46" s="11">
        <f t="shared" si="9"/>
        <v>0</v>
      </c>
      <c r="P46" s="11">
        <f t="shared" si="10"/>
        <v>31.362199000000004</v>
      </c>
      <c r="Q46" s="11">
        <f t="shared" si="11"/>
        <v>0</v>
      </c>
      <c r="R46" s="531"/>
      <c r="S46" s="415"/>
    </row>
    <row r="47" spans="1:19" s="180" customFormat="1" ht="13.5" thickBot="1">
      <c r="A47" s="421"/>
      <c r="B47" s="416"/>
      <c r="C47" s="419" t="s">
        <v>1305</v>
      </c>
      <c r="D47" s="420" t="s">
        <v>1306</v>
      </c>
      <c r="E47" s="889">
        <v>330.33</v>
      </c>
      <c r="F47" s="8">
        <f t="shared" si="0"/>
        <v>181.6815</v>
      </c>
      <c r="G47" s="10">
        <f t="shared" si="1"/>
        <v>0</v>
      </c>
      <c r="H47" s="11">
        <f t="shared" si="2"/>
        <v>5.6993486550000005</v>
      </c>
      <c r="I47" s="11">
        <f t="shared" si="3"/>
        <v>0</v>
      </c>
      <c r="J47" s="11">
        <f t="shared" si="4"/>
        <v>4.9780731000000005</v>
      </c>
      <c r="K47" s="11">
        <f t="shared" si="5"/>
        <v>0</v>
      </c>
      <c r="L47" s="11">
        <f t="shared" si="6"/>
        <v>4.1423382000000002</v>
      </c>
      <c r="M47" s="11">
        <f t="shared" si="7"/>
        <v>0</v>
      </c>
      <c r="N47" s="11">
        <f t="shared" si="8"/>
        <v>3.7063026000000003</v>
      </c>
      <c r="O47" s="11">
        <f t="shared" si="9"/>
        <v>0</v>
      </c>
      <c r="P47" s="11">
        <f t="shared" si="10"/>
        <v>3.3611077499999999</v>
      </c>
      <c r="Q47" s="11">
        <f t="shared" si="11"/>
        <v>0</v>
      </c>
      <c r="R47" s="531"/>
      <c r="S47" s="415"/>
    </row>
    <row r="48" spans="1:19" s="180" customFormat="1" ht="13.5" thickBot="1">
      <c r="A48" s="421"/>
      <c r="B48" s="416"/>
      <c r="C48" s="419" t="s">
        <v>1307</v>
      </c>
      <c r="D48" s="420" t="s">
        <v>1308</v>
      </c>
      <c r="E48" s="889">
        <v>2347.15</v>
      </c>
      <c r="F48" s="8">
        <f t="shared" si="0"/>
        <v>1290.9325000000001</v>
      </c>
      <c r="G48" s="10">
        <f t="shared" si="1"/>
        <v>0</v>
      </c>
      <c r="H48" s="11">
        <f t="shared" si="2"/>
        <v>40.496552525000006</v>
      </c>
      <c r="I48" s="11">
        <f t="shared" si="3"/>
        <v>0</v>
      </c>
      <c r="J48" s="11">
        <f t="shared" si="4"/>
        <v>35.371550500000005</v>
      </c>
      <c r="K48" s="11">
        <f t="shared" si="5"/>
        <v>0</v>
      </c>
      <c r="L48" s="11">
        <f t="shared" si="6"/>
        <v>29.433261000000005</v>
      </c>
      <c r="M48" s="11">
        <f t="shared" si="7"/>
        <v>0</v>
      </c>
      <c r="N48" s="11">
        <f t="shared" si="8"/>
        <v>26.335023000000003</v>
      </c>
      <c r="O48" s="11">
        <f t="shared" si="9"/>
        <v>0</v>
      </c>
      <c r="P48" s="11">
        <f t="shared" si="10"/>
        <v>23.882251249999999</v>
      </c>
      <c r="Q48" s="11">
        <f t="shared" si="11"/>
        <v>0</v>
      </c>
      <c r="R48" s="531"/>
      <c r="S48" s="415"/>
    </row>
    <row r="49" spans="1:19" s="180" customFormat="1" ht="13.5" thickBot="1">
      <c r="A49" s="421"/>
      <c r="B49" s="416"/>
      <c r="C49" s="419" t="s">
        <v>3988</v>
      </c>
      <c r="D49" s="420" t="s">
        <v>1309</v>
      </c>
      <c r="E49" s="889">
        <v>10395</v>
      </c>
      <c r="F49" s="8">
        <f t="shared" si="0"/>
        <v>5717.2500000000009</v>
      </c>
      <c r="G49" s="10">
        <f t="shared" si="1"/>
        <v>0</v>
      </c>
      <c r="H49" s="11">
        <f t="shared" si="2"/>
        <v>179.35013250000003</v>
      </c>
      <c r="I49" s="11">
        <f t="shared" si="3"/>
        <v>0</v>
      </c>
      <c r="J49" s="11">
        <f t="shared" si="4"/>
        <v>156.65265000000002</v>
      </c>
      <c r="K49" s="11">
        <f t="shared" si="5"/>
        <v>0</v>
      </c>
      <c r="L49" s="11">
        <f t="shared" si="6"/>
        <v>130.35330000000002</v>
      </c>
      <c r="M49" s="11">
        <f t="shared" si="7"/>
        <v>0</v>
      </c>
      <c r="N49" s="11">
        <f t="shared" si="8"/>
        <v>116.63190000000003</v>
      </c>
      <c r="O49" s="11">
        <f t="shared" si="9"/>
        <v>0</v>
      </c>
      <c r="P49" s="11">
        <f t="shared" si="10"/>
        <v>105.76912500000002</v>
      </c>
      <c r="Q49" s="11">
        <f t="shared" si="11"/>
        <v>0</v>
      </c>
      <c r="R49" s="531"/>
      <c r="S49" s="415"/>
    </row>
    <row r="50" spans="1:19" s="180" customFormat="1" ht="13.5" thickBot="1">
      <c r="A50" s="421"/>
      <c r="B50" s="416"/>
      <c r="C50" s="419" t="s">
        <v>1310</v>
      </c>
      <c r="D50" s="420" t="s">
        <v>3989</v>
      </c>
      <c r="E50" s="889">
        <v>7045.5</v>
      </c>
      <c r="F50" s="8">
        <f t="shared" si="0"/>
        <v>3875.0250000000001</v>
      </c>
      <c r="G50" s="10">
        <f t="shared" si="1"/>
        <v>0</v>
      </c>
      <c r="H50" s="11">
        <f t="shared" si="2"/>
        <v>121.55953425000001</v>
      </c>
      <c r="I50" s="11">
        <f t="shared" si="3"/>
        <v>0</v>
      </c>
      <c r="J50" s="11">
        <f t="shared" si="4"/>
        <v>106.175685</v>
      </c>
      <c r="K50" s="11">
        <f t="shared" si="5"/>
        <v>0</v>
      </c>
      <c r="L50" s="11">
        <f t="shared" si="6"/>
        <v>88.350570000000005</v>
      </c>
      <c r="M50" s="11">
        <f t="shared" si="7"/>
        <v>0</v>
      </c>
      <c r="N50" s="11">
        <f t="shared" si="8"/>
        <v>79.050510000000003</v>
      </c>
      <c r="O50" s="11">
        <f t="shared" si="9"/>
        <v>0</v>
      </c>
      <c r="P50" s="11">
        <f t="shared" si="10"/>
        <v>71.687962499999998</v>
      </c>
      <c r="Q50" s="11">
        <f t="shared" si="11"/>
        <v>0</v>
      </c>
      <c r="R50" s="531"/>
      <c r="S50" s="415"/>
    </row>
    <row r="51" spans="1:19" s="180" customFormat="1" ht="13.5" thickBot="1">
      <c r="A51" s="421"/>
      <c r="B51" s="416"/>
      <c r="C51" s="417" t="s">
        <v>1311</v>
      </c>
      <c r="D51" s="418" t="s">
        <v>1154</v>
      </c>
      <c r="E51" s="889">
        <v>2061.2600000000002</v>
      </c>
      <c r="F51" s="8">
        <f t="shared" si="0"/>
        <v>1133.6930000000002</v>
      </c>
      <c r="G51" s="10">
        <f t="shared" si="1"/>
        <v>0</v>
      </c>
      <c r="H51" s="11">
        <f t="shared" si="2"/>
        <v>35.563949410000006</v>
      </c>
      <c r="I51" s="11">
        <f t="shared" si="3"/>
        <v>0</v>
      </c>
      <c r="J51" s="11">
        <f t="shared" si="4"/>
        <v>31.063188200000006</v>
      </c>
      <c r="K51" s="11">
        <f t="shared" si="5"/>
        <v>0</v>
      </c>
      <c r="L51" s="11">
        <f t="shared" si="6"/>
        <v>25.848200400000007</v>
      </c>
      <c r="M51" s="11">
        <f t="shared" si="7"/>
        <v>0</v>
      </c>
      <c r="N51" s="11">
        <f t="shared" si="8"/>
        <v>23.127337200000007</v>
      </c>
      <c r="O51" s="11">
        <f t="shared" si="9"/>
        <v>0</v>
      </c>
      <c r="P51" s="11">
        <f t="shared" si="10"/>
        <v>20.973320500000003</v>
      </c>
      <c r="Q51" s="11">
        <f t="shared" si="11"/>
        <v>0</v>
      </c>
      <c r="R51" s="531"/>
      <c r="S51" s="415"/>
    </row>
    <row r="52" spans="1:19" s="180" customFormat="1" ht="13.5" thickBot="1">
      <c r="A52" s="421"/>
      <c r="B52" s="416"/>
      <c r="C52" s="419" t="s">
        <v>3990</v>
      </c>
      <c r="D52" s="420" t="s">
        <v>3991</v>
      </c>
      <c r="E52" s="889">
        <v>12289.2</v>
      </c>
      <c r="F52" s="8">
        <f t="shared" si="0"/>
        <v>6759.0600000000013</v>
      </c>
      <c r="G52" s="10">
        <f t="shared" si="1"/>
        <v>0</v>
      </c>
      <c r="H52" s="11">
        <f t="shared" si="2"/>
        <v>212.03171220000004</v>
      </c>
      <c r="I52" s="11">
        <f t="shared" si="3"/>
        <v>0</v>
      </c>
      <c r="J52" s="11">
        <f t="shared" si="4"/>
        <v>185.19824400000005</v>
      </c>
      <c r="K52" s="11">
        <f t="shared" si="5"/>
        <v>0</v>
      </c>
      <c r="L52" s="11">
        <f t="shared" si="6"/>
        <v>154.10656800000004</v>
      </c>
      <c r="M52" s="11">
        <f t="shared" si="7"/>
        <v>0</v>
      </c>
      <c r="N52" s="11">
        <f t="shared" si="8"/>
        <v>137.88482400000004</v>
      </c>
      <c r="O52" s="11">
        <f t="shared" si="9"/>
        <v>0</v>
      </c>
      <c r="P52" s="11">
        <f t="shared" si="10"/>
        <v>125.04261000000002</v>
      </c>
      <c r="Q52" s="11">
        <f t="shared" si="11"/>
        <v>0</v>
      </c>
      <c r="R52" s="531"/>
      <c r="S52" s="415"/>
    </row>
    <row r="53" spans="1:19" s="180" customFormat="1" ht="13.5" thickBot="1">
      <c r="A53" s="421"/>
      <c r="B53" s="416"/>
      <c r="C53" s="419" t="s">
        <v>3992</v>
      </c>
      <c r="D53" s="951" t="s">
        <v>3993</v>
      </c>
      <c r="E53" s="889">
        <v>1100</v>
      </c>
      <c r="F53" s="8">
        <v>741.40000000000009</v>
      </c>
      <c r="G53" s="10">
        <v>0</v>
      </c>
      <c r="H53" s="11">
        <f t="shared" si="2"/>
        <v>23.257718000000004</v>
      </c>
      <c r="I53" s="11">
        <f t="shared" si="3"/>
        <v>0</v>
      </c>
      <c r="J53" s="11">
        <f t="shared" si="4"/>
        <v>20.314360000000004</v>
      </c>
      <c r="K53" s="11">
        <f t="shared" si="5"/>
        <v>0</v>
      </c>
      <c r="L53" s="11">
        <f t="shared" si="6"/>
        <v>16.903920000000003</v>
      </c>
      <c r="M53" s="11">
        <f t="shared" si="7"/>
        <v>0</v>
      </c>
      <c r="N53" s="11">
        <f t="shared" si="8"/>
        <v>15.124560000000002</v>
      </c>
      <c r="O53" s="11">
        <f t="shared" si="9"/>
        <v>0</v>
      </c>
      <c r="P53" s="11">
        <f t="shared" si="10"/>
        <v>13.715900000000001</v>
      </c>
      <c r="Q53" s="11">
        <f t="shared" si="11"/>
        <v>0</v>
      </c>
      <c r="R53" s="531"/>
      <c r="S53" s="415"/>
    </row>
    <row r="54" spans="1:19" s="180" customFormat="1" ht="13.5" thickBot="1">
      <c r="A54" s="421"/>
      <c r="B54" s="416"/>
      <c r="C54" s="419" t="s">
        <v>3994</v>
      </c>
      <c r="D54" s="951" t="s">
        <v>3995</v>
      </c>
      <c r="E54" s="889">
        <v>1100</v>
      </c>
      <c r="F54" s="8">
        <f t="shared" ref="F54:F75" si="12">E54*(1-45%)</f>
        <v>605</v>
      </c>
      <c r="G54" s="10">
        <f t="shared" ref="G54:G75" si="13">F54*B54</f>
        <v>0</v>
      </c>
      <c r="H54" s="11">
        <f t="shared" si="2"/>
        <v>18.978850000000001</v>
      </c>
      <c r="I54" s="11">
        <f t="shared" si="3"/>
        <v>0</v>
      </c>
      <c r="J54" s="11">
        <f t="shared" si="4"/>
        <v>16.577000000000002</v>
      </c>
      <c r="K54" s="11">
        <f t="shared" si="5"/>
        <v>0</v>
      </c>
      <c r="L54" s="11">
        <f t="shared" si="6"/>
        <v>13.794</v>
      </c>
      <c r="M54" s="11">
        <f t="shared" si="7"/>
        <v>0</v>
      </c>
      <c r="N54" s="11">
        <f t="shared" si="8"/>
        <v>12.342000000000001</v>
      </c>
      <c r="O54" s="11">
        <f t="shared" si="9"/>
        <v>0</v>
      </c>
      <c r="P54" s="11">
        <f t="shared" si="10"/>
        <v>11.192499999999999</v>
      </c>
      <c r="Q54" s="11">
        <f t="shared" si="11"/>
        <v>0</v>
      </c>
      <c r="R54" s="531"/>
      <c r="S54" s="415"/>
    </row>
    <row r="55" spans="1:19" s="180" customFormat="1" ht="13.5" thickBot="1">
      <c r="A55" s="421"/>
      <c r="B55" s="416"/>
      <c r="C55" s="419" t="s">
        <v>3996</v>
      </c>
      <c r="D55" s="420" t="s">
        <v>3997</v>
      </c>
      <c r="E55" s="889">
        <v>550</v>
      </c>
      <c r="F55" s="8">
        <f t="shared" si="12"/>
        <v>302.5</v>
      </c>
      <c r="G55" s="10">
        <f t="shared" si="13"/>
        <v>0</v>
      </c>
      <c r="H55" s="11">
        <f t="shared" si="2"/>
        <v>9.4894250000000007</v>
      </c>
      <c r="I55" s="11">
        <f t="shared" si="3"/>
        <v>0</v>
      </c>
      <c r="J55" s="11">
        <f t="shared" si="4"/>
        <v>8.2885000000000009</v>
      </c>
      <c r="K55" s="11">
        <f t="shared" si="5"/>
        <v>0</v>
      </c>
      <c r="L55" s="11">
        <f t="shared" si="6"/>
        <v>6.8970000000000002</v>
      </c>
      <c r="M55" s="11">
        <f t="shared" si="7"/>
        <v>0</v>
      </c>
      <c r="N55" s="11">
        <f t="shared" si="8"/>
        <v>6.1710000000000003</v>
      </c>
      <c r="O55" s="11">
        <f t="shared" si="9"/>
        <v>0</v>
      </c>
      <c r="P55" s="11">
        <f t="shared" si="10"/>
        <v>5.5962499999999995</v>
      </c>
      <c r="Q55" s="11">
        <f t="shared" si="11"/>
        <v>0</v>
      </c>
      <c r="R55" s="531"/>
      <c r="S55" s="415"/>
    </row>
    <row r="56" spans="1:19" s="180" customFormat="1" ht="13.5" thickBot="1">
      <c r="A56" s="421"/>
      <c r="B56" s="416"/>
      <c r="C56" s="419" t="s">
        <v>1312</v>
      </c>
      <c r="D56" s="420" t="s">
        <v>3998</v>
      </c>
      <c r="E56" s="889">
        <v>384.77</v>
      </c>
      <c r="F56" s="8">
        <f t="shared" si="12"/>
        <v>211.62350000000001</v>
      </c>
      <c r="G56" s="10">
        <f t="shared" si="13"/>
        <v>0</v>
      </c>
      <c r="H56" s="11">
        <f t="shared" si="2"/>
        <v>6.6386291950000009</v>
      </c>
      <c r="I56" s="11">
        <f t="shared" si="3"/>
        <v>0</v>
      </c>
      <c r="J56" s="11">
        <f t="shared" si="4"/>
        <v>5.7984838999999999</v>
      </c>
      <c r="K56" s="11">
        <f t="shared" si="5"/>
        <v>0</v>
      </c>
      <c r="L56" s="11">
        <f t="shared" si="6"/>
        <v>4.8250158000000001</v>
      </c>
      <c r="M56" s="11">
        <f t="shared" si="7"/>
        <v>0</v>
      </c>
      <c r="N56" s="11">
        <f t="shared" si="8"/>
        <v>4.3171194000000002</v>
      </c>
      <c r="O56" s="11">
        <f t="shared" si="9"/>
        <v>0</v>
      </c>
      <c r="P56" s="11">
        <f t="shared" si="10"/>
        <v>3.9150347499999998</v>
      </c>
      <c r="Q56" s="11">
        <f t="shared" si="11"/>
        <v>0</v>
      </c>
      <c r="R56" s="531"/>
      <c r="S56" s="415"/>
    </row>
    <row r="57" spans="1:19" s="180" customFormat="1" ht="13.5" thickBot="1">
      <c r="A57" s="421"/>
      <c r="B57" s="416"/>
      <c r="C57" s="419" t="s">
        <v>1313</v>
      </c>
      <c r="D57" s="420" t="s">
        <v>1314</v>
      </c>
      <c r="E57" s="889">
        <v>4706.3</v>
      </c>
      <c r="F57" s="8">
        <f t="shared" si="12"/>
        <v>2588.4650000000001</v>
      </c>
      <c r="G57" s="10">
        <f t="shared" si="13"/>
        <v>0</v>
      </c>
      <c r="H57" s="11">
        <f t="shared" si="2"/>
        <v>81.200147050000012</v>
      </c>
      <c r="I57" s="11">
        <f t="shared" si="3"/>
        <v>0</v>
      </c>
      <c r="J57" s="11">
        <f t="shared" si="4"/>
        <v>70.923940999999999</v>
      </c>
      <c r="K57" s="11">
        <f t="shared" si="5"/>
        <v>0</v>
      </c>
      <c r="L57" s="11">
        <f t="shared" si="6"/>
        <v>59.017002000000005</v>
      </c>
      <c r="M57" s="11">
        <f t="shared" si="7"/>
        <v>0</v>
      </c>
      <c r="N57" s="11">
        <f t="shared" si="8"/>
        <v>52.804686000000004</v>
      </c>
      <c r="O57" s="11">
        <f t="shared" si="9"/>
        <v>0</v>
      </c>
      <c r="P57" s="11">
        <f t="shared" si="10"/>
        <v>47.886602500000002</v>
      </c>
      <c r="Q57" s="11">
        <f t="shared" si="11"/>
        <v>0</v>
      </c>
      <c r="R57" s="531"/>
      <c r="S57" s="415"/>
    </row>
    <row r="58" spans="1:19" s="180" customFormat="1" ht="13.5" thickBot="1">
      <c r="A58" s="421"/>
      <c r="B58" s="416"/>
      <c r="C58" s="419" t="s">
        <v>1315</v>
      </c>
      <c r="D58" s="420" t="s">
        <v>1316</v>
      </c>
      <c r="E58" s="889">
        <v>7267.26</v>
      </c>
      <c r="F58" s="8">
        <f t="shared" si="12"/>
        <v>3996.9930000000004</v>
      </c>
      <c r="G58" s="10">
        <f t="shared" si="13"/>
        <v>0</v>
      </c>
      <c r="H58" s="11">
        <f t="shared" si="2"/>
        <v>125.38567041000002</v>
      </c>
      <c r="I58" s="11">
        <f t="shared" si="3"/>
        <v>0</v>
      </c>
      <c r="J58" s="11">
        <f t="shared" si="4"/>
        <v>109.51760820000001</v>
      </c>
      <c r="K58" s="11">
        <f t="shared" si="5"/>
        <v>0</v>
      </c>
      <c r="L58" s="11">
        <f t="shared" si="6"/>
        <v>91.131440400000017</v>
      </c>
      <c r="M58" s="11">
        <f t="shared" si="7"/>
        <v>0</v>
      </c>
      <c r="N58" s="11">
        <f t="shared" si="8"/>
        <v>81.538657200000017</v>
      </c>
      <c r="O58" s="11">
        <f t="shared" si="9"/>
        <v>0</v>
      </c>
      <c r="P58" s="11">
        <f t="shared" si="10"/>
        <v>73.944370500000005</v>
      </c>
      <c r="Q58" s="11">
        <f t="shared" si="11"/>
        <v>0</v>
      </c>
      <c r="R58" s="531"/>
      <c r="S58" s="415"/>
    </row>
    <row r="59" spans="1:19" s="180" customFormat="1" ht="13.5" thickBot="1">
      <c r="A59" s="421"/>
      <c r="B59" s="416"/>
      <c r="C59" s="419" t="s">
        <v>1317</v>
      </c>
      <c r="D59" s="420" t="s">
        <v>1318</v>
      </c>
      <c r="E59" s="889">
        <v>5847.44</v>
      </c>
      <c r="F59" s="8">
        <f t="shared" si="12"/>
        <v>3216.0920000000001</v>
      </c>
      <c r="G59" s="10">
        <f t="shared" si="13"/>
        <v>0</v>
      </c>
      <c r="H59" s="11">
        <f t="shared" si="2"/>
        <v>100.88880604000001</v>
      </c>
      <c r="I59" s="11">
        <f t="shared" si="3"/>
        <v>0</v>
      </c>
      <c r="J59" s="11">
        <f t="shared" si="4"/>
        <v>88.120920800000007</v>
      </c>
      <c r="K59" s="11">
        <f t="shared" si="5"/>
        <v>0</v>
      </c>
      <c r="L59" s="11">
        <f t="shared" si="6"/>
        <v>73.326897600000009</v>
      </c>
      <c r="M59" s="11">
        <f t="shared" si="7"/>
        <v>0</v>
      </c>
      <c r="N59" s="11">
        <f t="shared" si="8"/>
        <v>65.608276800000013</v>
      </c>
      <c r="O59" s="11">
        <f t="shared" si="9"/>
        <v>0</v>
      </c>
      <c r="P59" s="11">
        <f t="shared" si="10"/>
        <v>59.497701999999997</v>
      </c>
      <c r="Q59" s="11">
        <f t="shared" si="11"/>
        <v>0</v>
      </c>
      <c r="R59" s="531"/>
      <c r="S59" s="415"/>
    </row>
    <row r="60" spans="1:19" s="180" customFormat="1" ht="13.5" thickBot="1">
      <c r="A60" s="421"/>
      <c r="B60" s="416"/>
      <c r="C60" s="419" t="s">
        <v>1319</v>
      </c>
      <c r="D60" s="420" t="s">
        <v>1320</v>
      </c>
      <c r="E60" s="889">
        <v>769.97</v>
      </c>
      <c r="F60" s="8">
        <f t="shared" si="12"/>
        <v>423.48350000000005</v>
      </c>
      <c r="G60" s="10">
        <f t="shared" si="13"/>
        <v>0</v>
      </c>
      <c r="H60" s="11">
        <f t="shared" si="2"/>
        <v>13.284677395000003</v>
      </c>
      <c r="I60" s="11">
        <f t="shared" si="3"/>
        <v>0</v>
      </c>
      <c r="J60" s="11">
        <f t="shared" si="4"/>
        <v>11.603447900000001</v>
      </c>
      <c r="K60" s="11">
        <f t="shared" si="5"/>
        <v>0</v>
      </c>
      <c r="L60" s="11">
        <f t="shared" si="6"/>
        <v>9.6554238000000012</v>
      </c>
      <c r="M60" s="11">
        <f t="shared" si="7"/>
        <v>0</v>
      </c>
      <c r="N60" s="11">
        <f t="shared" si="8"/>
        <v>8.6390634000000013</v>
      </c>
      <c r="O60" s="11">
        <f t="shared" si="9"/>
        <v>0</v>
      </c>
      <c r="P60" s="11">
        <f t="shared" si="10"/>
        <v>7.8344447500000003</v>
      </c>
      <c r="Q60" s="11">
        <f t="shared" si="11"/>
        <v>0</v>
      </c>
      <c r="R60" s="531"/>
      <c r="S60" s="415"/>
    </row>
    <row r="61" spans="1:19" s="180" customFormat="1" ht="13.5" thickBot="1">
      <c r="A61" s="421"/>
      <c r="B61" s="416"/>
      <c r="C61" s="419" t="s">
        <v>1138</v>
      </c>
      <c r="D61" s="420" t="s">
        <v>1139</v>
      </c>
      <c r="E61" s="889">
        <v>588.59</v>
      </c>
      <c r="F61" s="8">
        <f t="shared" si="12"/>
        <v>323.72450000000003</v>
      </c>
      <c r="G61" s="10">
        <f t="shared" si="13"/>
        <v>0</v>
      </c>
      <c r="H61" s="11">
        <f t="shared" si="2"/>
        <v>10.155237565000002</v>
      </c>
      <c r="I61" s="11">
        <f t="shared" si="3"/>
        <v>0</v>
      </c>
      <c r="J61" s="11">
        <f t="shared" si="4"/>
        <v>8.8700513000000019</v>
      </c>
      <c r="K61" s="11">
        <f t="shared" si="5"/>
        <v>0</v>
      </c>
      <c r="L61" s="11">
        <f t="shared" si="6"/>
        <v>7.3809186000000011</v>
      </c>
      <c r="M61" s="11">
        <f t="shared" si="7"/>
        <v>0</v>
      </c>
      <c r="N61" s="11">
        <f t="shared" si="8"/>
        <v>6.6039798000000012</v>
      </c>
      <c r="O61" s="11">
        <f t="shared" si="9"/>
        <v>0</v>
      </c>
      <c r="P61" s="11">
        <f t="shared" si="10"/>
        <v>5.9889032499999999</v>
      </c>
      <c r="Q61" s="11">
        <f t="shared" si="11"/>
        <v>0</v>
      </c>
      <c r="R61" s="531"/>
      <c r="S61" s="415"/>
    </row>
    <row r="62" spans="1:19" s="180" customFormat="1" ht="13.5" thickBot="1">
      <c r="A62" s="421"/>
      <c r="B62" s="416"/>
      <c r="C62" s="419" t="s">
        <v>1321</v>
      </c>
      <c r="D62" s="420" t="s">
        <v>1322</v>
      </c>
      <c r="E62" s="889">
        <v>792.79</v>
      </c>
      <c r="F62" s="8">
        <f t="shared" si="12"/>
        <v>436.03450000000004</v>
      </c>
      <c r="G62" s="10">
        <f t="shared" si="13"/>
        <v>0</v>
      </c>
      <c r="H62" s="11">
        <f t="shared" si="2"/>
        <v>13.678402265000003</v>
      </c>
      <c r="I62" s="11">
        <f t="shared" si="3"/>
        <v>0</v>
      </c>
      <c r="J62" s="11">
        <f t="shared" si="4"/>
        <v>11.947345300000002</v>
      </c>
      <c r="K62" s="11">
        <f t="shared" si="5"/>
        <v>0</v>
      </c>
      <c r="L62" s="11">
        <f t="shared" si="6"/>
        <v>9.9415866000000008</v>
      </c>
      <c r="M62" s="11">
        <f t="shared" si="7"/>
        <v>0</v>
      </c>
      <c r="N62" s="11">
        <f t="shared" si="8"/>
        <v>8.8951038000000011</v>
      </c>
      <c r="O62" s="11">
        <f t="shared" si="9"/>
        <v>0</v>
      </c>
      <c r="P62" s="11">
        <f t="shared" si="10"/>
        <v>8.0666382500000005</v>
      </c>
      <c r="Q62" s="11">
        <f t="shared" si="11"/>
        <v>0</v>
      </c>
      <c r="R62" s="531"/>
      <c r="S62" s="415"/>
    </row>
    <row r="63" spans="1:19" s="180" customFormat="1" ht="13.5" thickBot="1">
      <c r="A63" s="421"/>
      <c r="B63" s="416"/>
      <c r="C63" s="417" t="s">
        <v>1323</v>
      </c>
      <c r="D63" s="418" t="s">
        <v>1324</v>
      </c>
      <c r="E63" s="889">
        <v>647.45000000000005</v>
      </c>
      <c r="F63" s="8">
        <f t="shared" si="12"/>
        <v>356.09750000000008</v>
      </c>
      <c r="G63" s="10">
        <f t="shared" si="13"/>
        <v>0</v>
      </c>
      <c r="H63" s="11">
        <f t="shared" si="2"/>
        <v>11.170778575000003</v>
      </c>
      <c r="I63" s="11">
        <f t="shared" si="3"/>
        <v>0</v>
      </c>
      <c r="J63" s="11">
        <f t="shared" si="4"/>
        <v>9.7570715000000021</v>
      </c>
      <c r="K63" s="11">
        <f t="shared" si="5"/>
        <v>0</v>
      </c>
      <c r="L63" s="11">
        <f t="shared" si="6"/>
        <v>8.1190230000000021</v>
      </c>
      <c r="M63" s="11">
        <f t="shared" si="7"/>
        <v>0</v>
      </c>
      <c r="N63" s="11">
        <f t="shared" si="8"/>
        <v>7.2643890000000022</v>
      </c>
      <c r="O63" s="11">
        <f t="shared" si="9"/>
        <v>0</v>
      </c>
      <c r="P63" s="11">
        <f t="shared" si="10"/>
        <v>6.5878037500000008</v>
      </c>
      <c r="Q63" s="11">
        <f t="shared" si="11"/>
        <v>0</v>
      </c>
      <c r="R63" s="531"/>
      <c r="S63" s="415"/>
    </row>
    <row r="64" spans="1:19" s="180" customFormat="1" ht="13.5" thickBot="1">
      <c r="A64" s="421"/>
      <c r="B64" s="416"/>
      <c r="C64" s="419" t="s">
        <v>1325</v>
      </c>
      <c r="D64" s="420" t="s">
        <v>1326</v>
      </c>
      <c r="E64" s="889">
        <v>1017.42</v>
      </c>
      <c r="F64" s="8">
        <f t="shared" si="12"/>
        <v>559.58100000000002</v>
      </c>
      <c r="G64" s="10">
        <f t="shared" si="13"/>
        <v>0</v>
      </c>
      <c r="H64" s="11">
        <f t="shared" si="2"/>
        <v>17.55405597</v>
      </c>
      <c r="I64" s="11">
        <f t="shared" si="3"/>
        <v>0</v>
      </c>
      <c r="J64" s="11">
        <f t="shared" si="4"/>
        <v>15.332519400000001</v>
      </c>
      <c r="K64" s="11">
        <f t="shared" si="5"/>
        <v>0</v>
      </c>
      <c r="L64" s="11">
        <f t="shared" si="6"/>
        <v>12.758446800000002</v>
      </c>
      <c r="M64" s="11">
        <f t="shared" si="7"/>
        <v>0</v>
      </c>
      <c r="N64" s="11">
        <f t="shared" si="8"/>
        <v>11.415452400000001</v>
      </c>
      <c r="O64" s="11">
        <f t="shared" si="9"/>
        <v>0</v>
      </c>
      <c r="P64" s="11">
        <f t="shared" si="10"/>
        <v>10.3522485</v>
      </c>
      <c r="Q64" s="11">
        <f t="shared" si="11"/>
        <v>0</v>
      </c>
      <c r="R64" s="531"/>
      <c r="S64" s="415"/>
    </row>
    <row r="65" spans="1:19" s="180" customFormat="1" ht="13.5" thickBot="1">
      <c r="A65" s="421"/>
      <c r="B65" s="416"/>
      <c r="C65" s="419" t="s">
        <v>384</v>
      </c>
      <c r="D65" s="420" t="s">
        <v>3999</v>
      </c>
      <c r="E65" s="889">
        <v>116.84</v>
      </c>
      <c r="F65" s="8">
        <f t="shared" si="12"/>
        <v>64.262</v>
      </c>
      <c r="G65" s="10">
        <f t="shared" si="13"/>
        <v>0</v>
      </c>
      <c r="H65" s="11">
        <f t="shared" si="2"/>
        <v>2.01589894</v>
      </c>
      <c r="I65" s="11">
        <f t="shared" si="3"/>
        <v>0</v>
      </c>
      <c r="J65" s="11">
        <f>F65*0.02564</f>
        <v>1.6476776799999999</v>
      </c>
      <c r="K65" s="11">
        <f t="shared" si="5"/>
        <v>0</v>
      </c>
      <c r="L65" s="11">
        <f>F65*0.0256</f>
        <v>1.6451072</v>
      </c>
      <c r="M65" s="11">
        <f t="shared" si="7"/>
        <v>0</v>
      </c>
      <c r="N65" s="11">
        <f t="shared" si="8"/>
        <v>1.3109448000000001</v>
      </c>
      <c r="O65" s="11">
        <f t="shared" si="9"/>
        <v>0</v>
      </c>
      <c r="P65" s="11">
        <f t="shared" si="10"/>
        <v>1.188847</v>
      </c>
      <c r="Q65" s="11">
        <f t="shared" si="11"/>
        <v>0</v>
      </c>
      <c r="R65" s="531"/>
      <c r="S65" s="415"/>
    </row>
    <row r="66" spans="1:19" s="180" customFormat="1" ht="13.5" thickBot="1">
      <c r="A66" s="421"/>
      <c r="B66" s="416"/>
      <c r="C66" s="417" t="s">
        <v>1327</v>
      </c>
      <c r="D66" s="418" t="s">
        <v>1328</v>
      </c>
      <c r="E66" s="889">
        <v>912.91</v>
      </c>
      <c r="F66" s="8">
        <f t="shared" si="12"/>
        <v>502.10050000000001</v>
      </c>
      <c r="G66" s="10">
        <f t="shared" si="13"/>
        <v>0</v>
      </c>
      <c r="H66" s="11">
        <f t="shared" si="2"/>
        <v>15.750892685000002</v>
      </c>
      <c r="I66" s="11">
        <f t="shared" si="3"/>
        <v>0</v>
      </c>
      <c r="J66" s="11">
        <f>F66*0.0274</f>
        <v>13.757553700000001</v>
      </c>
      <c r="K66" s="11">
        <f t="shared" si="5"/>
        <v>0</v>
      </c>
      <c r="L66" s="11">
        <f t="shared" ref="L66:L75" si="14">F66*0.0228</f>
        <v>11.447891400000001</v>
      </c>
      <c r="M66" s="11">
        <f t="shared" si="7"/>
        <v>0</v>
      </c>
      <c r="N66" s="11">
        <f t="shared" si="8"/>
        <v>10.242850200000001</v>
      </c>
      <c r="O66" s="11">
        <f t="shared" si="9"/>
        <v>0</v>
      </c>
      <c r="P66" s="11">
        <f t="shared" si="10"/>
        <v>9.2888592499999998</v>
      </c>
      <c r="Q66" s="11">
        <f t="shared" si="11"/>
        <v>0</v>
      </c>
      <c r="R66" s="531"/>
      <c r="S66" s="415"/>
    </row>
    <row r="67" spans="1:19" s="180" customFormat="1" ht="13.5" thickBot="1">
      <c r="A67" s="421"/>
      <c r="B67" s="416"/>
      <c r="C67" s="419" t="s">
        <v>1152</v>
      </c>
      <c r="D67" s="420" t="s">
        <v>1231</v>
      </c>
      <c r="E67" s="889">
        <v>5018.6099999999997</v>
      </c>
      <c r="F67" s="8">
        <f t="shared" si="12"/>
        <v>2760.2355000000002</v>
      </c>
      <c r="G67" s="10">
        <f t="shared" si="13"/>
        <v>0</v>
      </c>
      <c r="H67" s="11">
        <f t="shared" si="2"/>
        <v>86.58858763500001</v>
      </c>
      <c r="I67" s="11">
        <f t="shared" si="3"/>
        <v>0</v>
      </c>
      <c r="J67" s="11">
        <f>F67*0.0274</f>
        <v>75.630452700000006</v>
      </c>
      <c r="K67" s="11">
        <f t="shared" si="5"/>
        <v>0</v>
      </c>
      <c r="L67" s="11">
        <f t="shared" si="14"/>
        <v>62.933369400000011</v>
      </c>
      <c r="M67" s="11">
        <f t="shared" si="7"/>
        <v>0</v>
      </c>
      <c r="N67" s="11">
        <f t="shared" si="8"/>
        <v>56.308804200000012</v>
      </c>
      <c r="O67" s="11">
        <f t="shared" si="9"/>
        <v>0</v>
      </c>
      <c r="P67" s="11">
        <f t="shared" si="10"/>
        <v>51.064356750000002</v>
      </c>
      <c r="Q67" s="11">
        <f t="shared" si="11"/>
        <v>0</v>
      </c>
      <c r="R67" s="531"/>
      <c r="S67" s="415"/>
    </row>
    <row r="68" spans="1:19" s="180" customFormat="1" ht="13.5" thickBot="1">
      <c r="A68" s="421"/>
      <c r="B68" s="416"/>
      <c r="C68" s="417" t="s">
        <v>1329</v>
      </c>
      <c r="D68" s="418" t="s">
        <v>4000</v>
      </c>
      <c r="E68" s="889">
        <v>8529.7199999999993</v>
      </c>
      <c r="F68" s="8">
        <f t="shared" si="12"/>
        <v>4691.3460000000005</v>
      </c>
      <c r="G68" s="10">
        <f t="shared" si="13"/>
        <v>0</v>
      </c>
      <c r="H68" s="11">
        <f t="shared" si="2"/>
        <v>147.16752402000003</v>
      </c>
      <c r="I68" s="11">
        <f t="shared" si="3"/>
        <v>0</v>
      </c>
      <c r="J68" s="11">
        <f>F68*0.0274</f>
        <v>128.54288040000003</v>
      </c>
      <c r="K68" s="11">
        <f t="shared" si="5"/>
        <v>0</v>
      </c>
      <c r="L68" s="11">
        <f t="shared" si="14"/>
        <v>106.96268880000001</v>
      </c>
      <c r="M68" s="11">
        <f t="shared" si="7"/>
        <v>0</v>
      </c>
      <c r="N68" s="11">
        <f t="shared" si="8"/>
        <v>95.703458400000017</v>
      </c>
      <c r="O68" s="11">
        <f t="shared" si="9"/>
        <v>0</v>
      </c>
      <c r="P68" s="11">
        <f t="shared" si="10"/>
        <v>86.789901</v>
      </c>
      <c r="Q68" s="11">
        <f t="shared" si="11"/>
        <v>0</v>
      </c>
      <c r="R68" s="531"/>
      <c r="S68" s="415"/>
    </row>
    <row r="69" spans="1:19" s="180" customFormat="1" ht="13.5" thickBot="1">
      <c r="A69" s="421"/>
      <c r="B69" s="416"/>
      <c r="C69" s="419" t="s">
        <v>1330</v>
      </c>
      <c r="D69" s="420" t="s">
        <v>4001</v>
      </c>
      <c r="E69" s="889">
        <v>14164.55</v>
      </c>
      <c r="F69" s="8">
        <f t="shared" si="12"/>
        <v>7790.5025000000005</v>
      </c>
      <c r="G69" s="10">
        <f t="shared" si="13"/>
        <v>0</v>
      </c>
      <c r="H69" s="11">
        <f t="shared" si="2"/>
        <v>244.38806342500004</v>
      </c>
      <c r="I69" s="11">
        <f t="shared" si="3"/>
        <v>0</v>
      </c>
      <c r="J69" s="11">
        <f>F69*0.02564</f>
        <v>199.74848410000001</v>
      </c>
      <c r="K69" s="11">
        <f t="shared" si="5"/>
        <v>0</v>
      </c>
      <c r="L69" s="11">
        <f t="shared" si="14"/>
        <v>177.62345700000003</v>
      </c>
      <c r="M69" s="11">
        <f t="shared" si="7"/>
        <v>0</v>
      </c>
      <c r="N69" s="11">
        <f t="shared" si="8"/>
        <v>158.92625100000001</v>
      </c>
      <c r="O69" s="11">
        <f t="shared" si="9"/>
        <v>0</v>
      </c>
      <c r="P69" s="11">
        <f t="shared" si="10"/>
        <v>144.12429625000001</v>
      </c>
      <c r="Q69" s="11">
        <f t="shared" si="11"/>
        <v>0</v>
      </c>
      <c r="R69" s="531"/>
      <c r="S69" s="415"/>
    </row>
    <row r="70" spans="1:19" s="180" customFormat="1" ht="13.5" thickBot="1">
      <c r="A70" s="421"/>
      <c r="B70" s="416"/>
      <c r="C70" s="419" t="s">
        <v>1132</v>
      </c>
      <c r="D70" s="420" t="s">
        <v>1133</v>
      </c>
      <c r="E70" s="889">
        <v>1471.47</v>
      </c>
      <c r="F70" s="8">
        <f t="shared" si="12"/>
        <v>809.30850000000009</v>
      </c>
      <c r="G70" s="10">
        <f t="shared" si="13"/>
        <v>0</v>
      </c>
      <c r="H70" s="11">
        <f t="shared" si="2"/>
        <v>25.388007645000005</v>
      </c>
      <c r="I70" s="11">
        <f t="shared" si="3"/>
        <v>0</v>
      </c>
      <c r="J70" s="11">
        <f t="shared" ref="J70:J75" si="15">F70*0.0274</f>
        <v>22.175052900000004</v>
      </c>
      <c r="K70" s="11">
        <f t="shared" si="5"/>
        <v>0</v>
      </c>
      <c r="L70" s="11">
        <f t="shared" si="14"/>
        <v>18.452233800000002</v>
      </c>
      <c r="M70" s="11">
        <f t="shared" si="7"/>
        <v>0</v>
      </c>
      <c r="N70" s="11">
        <f t="shared" si="8"/>
        <v>16.509893400000003</v>
      </c>
      <c r="O70" s="11">
        <f t="shared" si="9"/>
        <v>0</v>
      </c>
      <c r="P70" s="11">
        <f t="shared" si="10"/>
        <v>14.97220725</v>
      </c>
      <c r="Q70" s="11">
        <f t="shared" si="11"/>
        <v>0</v>
      </c>
      <c r="R70" s="531"/>
      <c r="S70" s="415"/>
    </row>
    <row r="71" spans="1:19" s="180" customFormat="1" ht="13.5" thickBot="1">
      <c r="A71" s="421"/>
      <c r="B71" s="416"/>
      <c r="C71" s="417" t="s">
        <v>1150</v>
      </c>
      <c r="D71" s="418" t="s">
        <v>1151</v>
      </c>
      <c r="E71" s="889">
        <v>1103.9100000000001</v>
      </c>
      <c r="F71" s="8">
        <f t="shared" si="12"/>
        <v>607.15050000000008</v>
      </c>
      <c r="G71" s="10">
        <f t="shared" si="13"/>
        <v>0</v>
      </c>
      <c r="H71" s="11">
        <f t="shared" si="2"/>
        <v>19.046311185000004</v>
      </c>
      <c r="I71" s="11">
        <f t="shared" si="3"/>
        <v>0</v>
      </c>
      <c r="J71" s="11">
        <f t="shared" si="15"/>
        <v>16.635923700000003</v>
      </c>
      <c r="K71" s="11">
        <f t="shared" si="5"/>
        <v>0</v>
      </c>
      <c r="L71" s="11">
        <f t="shared" si="14"/>
        <v>13.843031400000003</v>
      </c>
      <c r="M71" s="11">
        <f t="shared" si="7"/>
        <v>0</v>
      </c>
      <c r="N71" s="11">
        <f t="shared" si="8"/>
        <v>12.385870200000003</v>
      </c>
      <c r="O71" s="11">
        <f t="shared" si="9"/>
        <v>0</v>
      </c>
      <c r="P71" s="11">
        <f t="shared" si="10"/>
        <v>11.232284250000001</v>
      </c>
      <c r="Q71" s="11">
        <f t="shared" si="11"/>
        <v>0</v>
      </c>
      <c r="R71" s="531"/>
      <c r="S71" s="415"/>
    </row>
    <row r="72" spans="1:19" s="180" customFormat="1" ht="13.5" thickBot="1">
      <c r="A72" s="421"/>
      <c r="B72" s="416"/>
      <c r="C72" s="419" t="s">
        <v>1136</v>
      </c>
      <c r="D72" s="420" t="s">
        <v>1137</v>
      </c>
      <c r="E72" s="889">
        <v>2613.81</v>
      </c>
      <c r="F72" s="8">
        <f t="shared" si="12"/>
        <v>1437.5955000000001</v>
      </c>
      <c r="G72" s="10">
        <f t="shared" si="13"/>
        <v>0</v>
      </c>
      <c r="H72" s="11">
        <f t="shared" si="2"/>
        <v>45.097370835000007</v>
      </c>
      <c r="I72" s="11">
        <f t="shared" si="3"/>
        <v>0</v>
      </c>
      <c r="J72" s="11">
        <f t="shared" si="15"/>
        <v>39.390116700000007</v>
      </c>
      <c r="K72" s="11">
        <f t="shared" si="5"/>
        <v>0</v>
      </c>
      <c r="L72" s="11">
        <f t="shared" si="14"/>
        <v>32.777177400000006</v>
      </c>
      <c r="M72" s="11">
        <f t="shared" si="7"/>
        <v>0</v>
      </c>
      <c r="N72" s="11">
        <f t="shared" si="8"/>
        <v>29.326948200000004</v>
      </c>
      <c r="O72" s="11">
        <f t="shared" si="9"/>
        <v>0</v>
      </c>
      <c r="P72" s="11">
        <f t="shared" si="10"/>
        <v>26.595516750000002</v>
      </c>
      <c r="Q72" s="11">
        <f t="shared" si="11"/>
        <v>0</v>
      </c>
      <c r="R72" s="531"/>
      <c r="S72" s="415"/>
    </row>
    <row r="73" spans="1:19" s="180" customFormat="1" ht="13.5" thickBot="1">
      <c r="A73" s="421"/>
      <c r="B73" s="416"/>
      <c r="C73" s="419" t="s">
        <v>1331</v>
      </c>
      <c r="D73" s="420" t="s">
        <v>1332</v>
      </c>
      <c r="E73" s="889">
        <v>3303.3</v>
      </c>
      <c r="F73" s="8">
        <f t="shared" si="12"/>
        <v>1816.8150000000003</v>
      </c>
      <c r="G73" s="10">
        <f t="shared" si="13"/>
        <v>0</v>
      </c>
      <c r="H73" s="11">
        <f t="shared" si="2"/>
        <v>56.993486550000014</v>
      </c>
      <c r="I73" s="11">
        <f t="shared" si="3"/>
        <v>0</v>
      </c>
      <c r="J73" s="11">
        <f t="shared" si="15"/>
        <v>49.78073100000001</v>
      </c>
      <c r="K73" s="11">
        <f t="shared" si="5"/>
        <v>0</v>
      </c>
      <c r="L73" s="11">
        <f t="shared" si="14"/>
        <v>41.423382000000011</v>
      </c>
      <c r="M73" s="11">
        <f t="shared" si="7"/>
        <v>0</v>
      </c>
      <c r="N73" s="11">
        <f t="shared" si="8"/>
        <v>37.063026000000008</v>
      </c>
      <c r="O73" s="11">
        <f t="shared" si="9"/>
        <v>0</v>
      </c>
      <c r="P73" s="11">
        <f t="shared" si="10"/>
        <v>33.6110775</v>
      </c>
      <c r="Q73" s="11">
        <f t="shared" si="11"/>
        <v>0</v>
      </c>
      <c r="R73" s="531"/>
      <c r="S73" s="415"/>
    </row>
    <row r="74" spans="1:19" s="180" customFormat="1" ht="13.5" thickBot="1">
      <c r="A74" s="421"/>
      <c r="B74" s="416"/>
      <c r="C74" s="419" t="s">
        <v>1333</v>
      </c>
      <c r="D74" s="420" t="s">
        <v>1334</v>
      </c>
      <c r="E74" s="889">
        <v>1189.19</v>
      </c>
      <c r="F74" s="8">
        <f t="shared" si="12"/>
        <v>654.05450000000008</v>
      </c>
      <c r="G74" s="10">
        <f t="shared" si="13"/>
        <v>0</v>
      </c>
      <c r="H74" s="11">
        <f t="shared" si="2"/>
        <v>20.517689665000002</v>
      </c>
      <c r="I74" s="11">
        <f t="shared" si="3"/>
        <v>0</v>
      </c>
      <c r="J74" s="11">
        <f t="shared" si="15"/>
        <v>17.921093300000003</v>
      </c>
      <c r="K74" s="11">
        <f t="shared" si="5"/>
        <v>0</v>
      </c>
      <c r="L74" s="11">
        <f t="shared" si="14"/>
        <v>14.912442600000002</v>
      </c>
      <c r="M74" s="11">
        <f t="shared" si="7"/>
        <v>0</v>
      </c>
      <c r="N74" s="11">
        <f t="shared" si="8"/>
        <v>13.342711800000002</v>
      </c>
      <c r="O74" s="11">
        <f t="shared" si="9"/>
        <v>0</v>
      </c>
      <c r="P74" s="11">
        <f t="shared" si="10"/>
        <v>12.10000825</v>
      </c>
      <c r="Q74" s="11">
        <f t="shared" si="11"/>
        <v>0</v>
      </c>
      <c r="R74" s="531"/>
      <c r="S74" s="415"/>
    </row>
    <row r="75" spans="1:19" s="180" customFormat="1" ht="13.5" thickBot="1">
      <c r="A75" s="421"/>
      <c r="B75" s="416"/>
      <c r="C75" s="419" t="s">
        <v>1335</v>
      </c>
      <c r="D75" s="420" t="s">
        <v>1336</v>
      </c>
      <c r="E75" s="889">
        <v>766.36</v>
      </c>
      <c r="F75" s="8">
        <f t="shared" si="12"/>
        <v>421.49800000000005</v>
      </c>
      <c r="G75" s="10">
        <f t="shared" si="13"/>
        <v>0</v>
      </c>
      <c r="H75" s="11">
        <f t="shared" si="2"/>
        <v>13.222392260000003</v>
      </c>
      <c r="I75" s="11">
        <f t="shared" si="3"/>
        <v>0</v>
      </c>
      <c r="J75" s="11">
        <f t="shared" si="15"/>
        <v>11.549045200000002</v>
      </c>
      <c r="K75" s="11">
        <f t="shared" si="5"/>
        <v>0</v>
      </c>
      <c r="L75" s="11">
        <f t="shared" si="14"/>
        <v>9.6101544000000008</v>
      </c>
      <c r="M75" s="11">
        <f t="shared" si="7"/>
        <v>0</v>
      </c>
      <c r="N75" s="11">
        <f t="shared" si="8"/>
        <v>8.5985592000000022</v>
      </c>
      <c r="O75" s="11">
        <f t="shared" si="9"/>
        <v>0</v>
      </c>
      <c r="P75" s="11">
        <f t="shared" si="10"/>
        <v>7.7977130000000008</v>
      </c>
      <c r="Q75" s="11">
        <f t="shared" si="11"/>
        <v>0</v>
      </c>
      <c r="R75" s="531"/>
      <c r="S75" s="415"/>
    </row>
    <row r="76" spans="1:19" s="421" customFormat="1">
      <c r="D76" s="1303" t="s">
        <v>65</v>
      </c>
      <c r="E76" s="1304"/>
      <c r="F76" s="1305"/>
      <c r="G76" s="51">
        <f>SUM(G32:G75)+G29</f>
        <v>0</v>
      </c>
      <c r="H76" s="178" t="s">
        <v>154</v>
      </c>
      <c r="I76" s="51">
        <f>SUM(I32:I75)+I29</f>
        <v>0</v>
      </c>
      <c r="J76" s="178" t="s">
        <v>155</v>
      </c>
      <c r="K76" s="51">
        <f>SUM(K32:K75)+K29</f>
        <v>0</v>
      </c>
      <c r="L76" s="178" t="s">
        <v>156</v>
      </c>
      <c r="M76" s="51">
        <f>SUM(M32:M75)+M29</f>
        <v>0</v>
      </c>
      <c r="N76" s="178" t="s">
        <v>1337</v>
      </c>
      <c r="O76" s="51">
        <f>SUM(O32:O75)+O29</f>
        <v>0</v>
      </c>
      <c r="P76" s="178" t="s">
        <v>1338</v>
      </c>
      <c r="Q76" s="51">
        <f>SUM(Q32:Q75)+Q29</f>
        <v>0</v>
      </c>
    </row>
    <row r="77" spans="1:19" s="421" customFormat="1" ht="12.75">
      <c r="F77" s="422"/>
      <c r="G77" s="422"/>
      <c r="H77" s="423"/>
    </row>
    <row r="78" spans="1:19" s="421" customFormat="1" ht="12.75">
      <c r="F78" s="422"/>
      <c r="G78" s="422"/>
    </row>
    <row r="79" spans="1:19" s="421" customFormat="1" ht="12.75">
      <c r="F79" s="422"/>
      <c r="G79" s="422"/>
    </row>
    <row r="80" spans="1:19" s="421" customFormat="1" ht="12.75">
      <c r="F80" s="422"/>
      <c r="G80" s="422"/>
    </row>
    <row r="81" spans="2:7" s="421" customFormat="1" ht="12.75">
      <c r="F81" s="422"/>
      <c r="G81" s="422"/>
    </row>
    <row r="82" spans="2:7" s="421" customFormat="1" ht="12.75">
      <c r="F82" s="422"/>
      <c r="G82" s="422"/>
    </row>
    <row r="83" spans="2:7" s="421" customFormat="1" ht="12.75">
      <c r="F83" s="422"/>
      <c r="G83" s="422"/>
    </row>
    <row r="84" spans="2:7" s="421" customFormat="1" ht="12.75">
      <c r="F84" s="422"/>
      <c r="G84" s="422"/>
    </row>
    <row r="85" spans="2:7" s="421" customFormat="1" ht="12.75">
      <c r="F85" s="422"/>
      <c r="G85" s="422"/>
    </row>
    <row r="86" spans="2:7" s="421" customFormat="1" ht="12.75">
      <c r="F86" s="422"/>
      <c r="G86" s="422"/>
    </row>
    <row r="87" spans="2:7" s="421" customFormat="1" ht="12.75">
      <c r="F87" s="422"/>
      <c r="G87" s="422"/>
    </row>
    <row r="88" spans="2:7" s="421" customFormat="1" ht="12.75">
      <c r="F88" s="422"/>
      <c r="G88" s="422"/>
    </row>
    <row r="89" spans="2:7" s="421" customFormat="1" ht="12.75">
      <c r="F89" s="422"/>
      <c r="G89" s="422"/>
    </row>
    <row r="90" spans="2:7" s="421" customFormat="1" ht="12.75">
      <c r="F90" s="422"/>
      <c r="G90" s="422"/>
    </row>
    <row r="91" spans="2:7" s="421" customFormat="1" ht="12.75">
      <c r="F91" s="422"/>
      <c r="G91" s="422"/>
    </row>
    <row r="92" spans="2:7" s="421" customFormat="1" ht="12.75">
      <c r="F92" s="422"/>
      <c r="G92" s="422"/>
    </row>
    <row r="93" spans="2:7" s="421" customFormat="1" ht="12.75">
      <c r="B93" s="179"/>
      <c r="C93" s="179"/>
      <c r="F93" s="422"/>
      <c r="G93" s="422"/>
    </row>
    <row r="94" spans="2:7" s="421" customFormat="1" ht="12.75">
      <c r="F94" s="422"/>
      <c r="G94" s="422"/>
    </row>
    <row r="95" spans="2:7" s="421" customFormat="1" ht="12.75">
      <c r="F95" s="422"/>
      <c r="G95" s="422"/>
    </row>
    <row r="96" spans="2:7" s="421" customFormat="1" ht="12.75">
      <c r="F96" s="422"/>
      <c r="G96" s="422"/>
    </row>
    <row r="97" spans="6:7" s="421" customFormat="1" ht="12.75">
      <c r="F97" s="422"/>
      <c r="G97" s="422"/>
    </row>
    <row r="98" spans="6:7" s="421" customFormat="1" ht="12.75">
      <c r="F98" s="422"/>
      <c r="G98" s="422"/>
    </row>
    <row r="99" spans="6:7" s="421" customFormat="1" ht="12.75">
      <c r="F99" s="422"/>
      <c r="G99" s="422"/>
    </row>
    <row r="100" spans="6:7" s="421" customFormat="1" ht="12.75">
      <c r="F100" s="422"/>
      <c r="G100" s="422"/>
    </row>
    <row r="101" spans="6:7" s="421" customFormat="1" ht="12.75">
      <c r="F101" s="422"/>
      <c r="G101" s="422"/>
    </row>
    <row r="102" spans="6:7" s="421" customFormat="1" ht="12.75">
      <c r="F102" s="422"/>
      <c r="G102" s="422"/>
    </row>
    <row r="103" spans="6:7" s="421" customFormat="1" ht="12.75">
      <c r="F103" s="422"/>
      <c r="G103" s="422"/>
    </row>
    <row r="104" spans="6:7" s="421" customFormat="1" ht="12.75">
      <c r="F104" s="422"/>
      <c r="G104" s="422"/>
    </row>
    <row r="105" spans="6:7" s="421" customFormat="1" ht="12.75">
      <c r="F105" s="422"/>
      <c r="G105" s="422"/>
    </row>
    <row r="106" spans="6:7" s="421" customFormat="1" ht="12.75">
      <c r="F106" s="422"/>
      <c r="G106" s="422"/>
    </row>
    <row r="107" spans="6:7" s="421" customFormat="1" ht="12.75">
      <c r="F107" s="422"/>
      <c r="G107" s="422"/>
    </row>
    <row r="108" spans="6:7" s="421" customFormat="1" ht="12.75">
      <c r="F108" s="422"/>
      <c r="G108" s="422"/>
    </row>
    <row r="109" spans="6:7" s="421" customFormat="1" ht="12.75">
      <c r="F109" s="422"/>
      <c r="G109" s="422"/>
    </row>
    <row r="110" spans="6:7" s="421" customFormat="1" ht="12.75">
      <c r="F110" s="422"/>
      <c r="G110" s="422"/>
    </row>
    <row r="111" spans="6:7" s="421" customFormat="1" ht="12.75">
      <c r="F111" s="422"/>
      <c r="G111" s="422"/>
    </row>
    <row r="112" spans="6:7" s="421" customFormat="1" ht="12.75">
      <c r="F112" s="422"/>
      <c r="G112" s="422"/>
    </row>
    <row r="113" spans="6:7" s="421" customFormat="1" ht="12.75">
      <c r="F113" s="330"/>
      <c r="G113" s="330"/>
    </row>
    <row r="114" spans="6:7" s="421" customFormat="1" ht="12.75">
      <c r="F114" s="330"/>
      <c r="G114" s="330"/>
    </row>
    <row r="115" spans="6:7" s="421" customFormat="1" ht="12.75">
      <c r="F115" s="330"/>
      <c r="G115" s="330"/>
    </row>
    <row r="116" spans="6:7" s="421" customFormat="1" ht="12.75">
      <c r="F116" s="330"/>
      <c r="G116" s="330"/>
    </row>
    <row r="117" spans="6:7" s="421" customFormat="1" ht="12.75">
      <c r="F117" s="330"/>
      <c r="G117" s="330"/>
    </row>
    <row r="118" spans="6:7" s="421" customFormat="1" ht="12.75">
      <c r="F118" s="330"/>
      <c r="G118" s="330"/>
    </row>
    <row r="119" spans="6:7" s="421" customFormat="1" ht="12.75">
      <c r="F119" s="330"/>
      <c r="G119" s="330"/>
    </row>
    <row r="120" spans="6:7" s="421" customFormat="1" ht="12.75">
      <c r="F120" s="330"/>
      <c r="G120" s="330"/>
    </row>
    <row r="121" spans="6:7" s="421" customFormat="1" ht="12.75">
      <c r="F121" s="330"/>
      <c r="G121" s="330"/>
    </row>
    <row r="122" spans="6:7" s="421" customFormat="1" ht="12.75">
      <c r="F122" s="330"/>
      <c r="G122" s="330"/>
    </row>
    <row r="123" spans="6:7" s="421" customFormat="1" ht="12.75">
      <c r="F123" s="330"/>
      <c r="G123" s="330"/>
    </row>
    <row r="124" spans="6:7" s="421" customFormat="1" ht="12.75">
      <c r="F124" s="330"/>
      <c r="G124" s="330"/>
    </row>
    <row r="125" spans="6:7" s="421" customFormat="1" ht="12.75">
      <c r="F125" s="330"/>
      <c r="G125" s="330"/>
    </row>
    <row r="126" spans="6:7" s="421" customFormat="1" ht="12.75">
      <c r="F126" s="330"/>
      <c r="G126" s="330"/>
    </row>
    <row r="127" spans="6:7" s="421" customFormat="1" ht="12.75">
      <c r="F127" s="330"/>
      <c r="G127" s="330"/>
    </row>
    <row r="128" spans="6:7" s="421" customFormat="1" ht="12.75">
      <c r="F128" s="330"/>
      <c r="G128" s="330"/>
    </row>
    <row r="129" spans="1:7" s="421" customFormat="1" ht="12.75">
      <c r="F129" s="330"/>
      <c r="G129" s="330"/>
    </row>
    <row r="130" spans="1:7" s="421" customFormat="1" ht="12.75">
      <c r="F130" s="330"/>
      <c r="G130" s="330"/>
    </row>
    <row r="131" spans="1:7" s="421" customFormat="1" ht="12.75">
      <c r="F131" s="330"/>
      <c r="G131" s="330"/>
    </row>
    <row r="132" spans="1:7" s="421" customFormat="1">
      <c r="A132" s="139"/>
      <c r="F132" s="330"/>
      <c r="G132" s="330"/>
    </row>
    <row r="133" spans="1:7" s="421" customFormat="1">
      <c r="A133" s="139"/>
      <c r="F133" s="330"/>
      <c r="G133" s="330"/>
    </row>
    <row r="134" spans="1:7" s="421" customFormat="1">
      <c r="A134" s="139"/>
      <c r="F134" s="330"/>
      <c r="G134" s="330"/>
    </row>
    <row r="135" spans="1:7" s="421" customFormat="1">
      <c r="A135" s="139"/>
      <c r="F135" s="330"/>
      <c r="G135" s="330"/>
    </row>
    <row r="136" spans="1:7" s="421" customFormat="1">
      <c r="A136" s="139"/>
      <c r="F136" s="330"/>
      <c r="G136" s="330"/>
    </row>
    <row r="137" spans="1:7" s="421" customFormat="1">
      <c r="A137" s="139"/>
      <c r="F137" s="330"/>
      <c r="G137" s="330"/>
    </row>
    <row r="138" spans="1:7" s="421" customFormat="1">
      <c r="A138" s="139"/>
      <c r="F138" s="330"/>
      <c r="G138" s="330"/>
    </row>
    <row r="139" spans="1:7" s="421" customFormat="1">
      <c r="A139" s="139"/>
      <c r="F139" s="330"/>
      <c r="G139" s="330"/>
    </row>
    <row r="140" spans="1:7" s="421" customFormat="1">
      <c r="A140" s="139"/>
      <c r="F140" s="330"/>
      <c r="G140" s="330"/>
    </row>
    <row r="141" spans="1:7" s="421" customFormat="1">
      <c r="A141" s="139"/>
      <c r="F141" s="330"/>
      <c r="G141" s="330"/>
    </row>
    <row r="142" spans="1:7" s="421" customFormat="1">
      <c r="A142" s="139"/>
      <c r="F142" s="330"/>
      <c r="G142" s="330"/>
    </row>
    <row r="143" spans="1:7" s="421" customFormat="1">
      <c r="A143" s="139"/>
      <c r="F143" s="330"/>
      <c r="G143" s="330"/>
    </row>
    <row r="144" spans="1:7" s="421" customFormat="1">
      <c r="A144" s="139"/>
      <c r="F144" s="330"/>
      <c r="G144" s="330"/>
    </row>
    <row r="145" spans="1:7" s="421" customFormat="1">
      <c r="A145" s="139"/>
      <c r="F145" s="330"/>
      <c r="G145" s="330"/>
    </row>
    <row r="146" spans="1:7" s="421" customFormat="1">
      <c r="A146" s="139"/>
      <c r="F146" s="330"/>
      <c r="G146" s="330"/>
    </row>
    <row r="147" spans="1:7" s="421" customFormat="1">
      <c r="A147" s="139"/>
      <c r="F147" s="330"/>
      <c r="G147" s="330"/>
    </row>
    <row r="148" spans="1:7" s="421" customFormat="1">
      <c r="A148" s="139"/>
      <c r="F148" s="330"/>
      <c r="G148" s="330"/>
    </row>
    <row r="149" spans="1:7" s="421" customFormat="1">
      <c r="A149" s="139"/>
      <c r="F149" s="330"/>
      <c r="G149" s="330"/>
    </row>
    <row r="150" spans="1:7" s="421" customFormat="1">
      <c r="A150" s="139"/>
      <c r="F150" s="330"/>
      <c r="G150" s="330"/>
    </row>
    <row r="151" spans="1:7" s="421" customFormat="1">
      <c r="A151" s="139"/>
      <c r="F151" s="330"/>
      <c r="G151" s="330"/>
    </row>
    <row r="152" spans="1:7" s="421" customFormat="1">
      <c r="A152" s="139"/>
      <c r="F152" s="330"/>
      <c r="G152" s="330"/>
    </row>
    <row r="153" spans="1:7" s="421" customFormat="1">
      <c r="A153" s="139"/>
      <c r="F153" s="330"/>
      <c r="G153" s="330"/>
    </row>
    <row r="154" spans="1:7" s="421" customFormat="1">
      <c r="A154" s="139"/>
      <c r="F154" s="330"/>
      <c r="G154" s="330"/>
    </row>
    <row r="155" spans="1:7" s="421" customFormat="1">
      <c r="A155" s="139"/>
      <c r="F155" s="330"/>
      <c r="G155" s="330"/>
    </row>
    <row r="156" spans="1:7" s="421" customFormat="1">
      <c r="A156" s="139"/>
      <c r="F156" s="330"/>
      <c r="G156" s="330"/>
    </row>
    <row r="157" spans="1:7" s="421" customFormat="1">
      <c r="A157" s="139"/>
      <c r="F157" s="330"/>
      <c r="G157" s="330"/>
    </row>
    <row r="158" spans="1:7" s="421" customFormat="1">
      <c r="A158" s="139"/>
      <c r="F158" s="330"/>
      <c r="G158" s="330"/>
    </row>
    <row r="159" spans="1:7" s="421" customFormat="1">
      <c r="A159" s="139"/>
      <c r="F159" s="330"/>
      <c r="G159" s="330"/>
    </row>
    <row r="160" spans="1:7" s="421" customFormat="1">
      <c r="A160" s="139"/>
      <c r="F160" s="330"/>
      <c r="G160" s="330"/>
    </row>
    <row r="161" spans="1:7" s="421" customFormat="1">
      <c r="A161" s="139"/>
      <c r="F161" s="330"/>
      <c r="G161" s="330"/>
    </row>
    <row r="162" spans="1:7" s="421" customFormat="1">
      <c r="A162" s="139"/>
      <c r="F162" s="330"/>
      <c r="G162" s="330"/>
    </row>
    <row r="163" spans="1:7" s="421" customFormat="1">
      <c r="A163" s="139"/>
      <c r="F163" s="330"/>
      <c r="G163" s="330"/>
    </row>
    <row r="164" spans="1:7" s="421" customFormat="1">
      <c r="A164" s="139"/>
      <c r="F164" s="330"/>
      <c r="G164" s="330"/>
    </row>
    <row r="165" spans="1:7" s="421" customFormat="1">
      <c r="A165" s="139"/>
      <c r="F165" s="330"/>
      <c r="G165" s="330"/>
    </row>
    <row r="166" spans="1:7" s="421" customFormat="1">
      <c r="A166" s="139"/>
      <c r="F166" s="330"/>
      <c r="G166" s="330"/>
    </row>
    <row r="167" spans="1:7" s="421" customFormat="1">
      <c r="A167" s="139"/>
      <c r="F167" s="330"/>
      <c r="G167" s="330"/>
    </row>
    <row r="168" spans="1:7" s="421" customFormat="1">
      <c r="A168" s="139"/>
      <c r="F168" s="330"/>
      <c r="G168" s="330"/>
    </row>
    <row r="169" spans="1:7" s="421" customFormat="1">
      <c r="A169" s="139"/>
      <c r="F169" s="330"/>
      <c r="G169" s="330"/>
    </row>
    <row r="170" spans="1:7" s="421" customFormat="1">
      <c r="A170" s="139"/>
      <c r="F170" s="330"/>
      <c r="G170" s="330"/>
    </row>
    <row r="171" spans="1:7" s="421" customFormat="1">
      <c r="A171" s="139"/>
      <c r="F171" s="330"/>
      <c r="G171" s="330"/>
    </row>
    <row r="172" spans="1:7" s="421" customFormat="1">
      <c r="A172" s="139"/>
      <c r="F172" s="330"/>
      <c r="G172" s="330"/>
    </row>
    <row r="173" spans="1:7" s="421" customFormat="1">
      <c r="A173" s="139"/>
      <c r="F173" s="330"/>
      <c r="G173" s="330"/>
    </row>
    <row r="174" spans="1:7" s="421" customFormat="1">
      <c r="A174" s="139"/>
      <c r="F174" s="330"/>
      <c r="G174" s="330"/>
    </row>
    <row r="175" spans="1:7" s="421" customFormat="1">
      <c r="A175" s="139"/>
      <c r="F175" s="330"/>
      <c r="G175" s="330"/>
    </row>
    <row r="176" spans="1:7" s="421" customFormat="1">
      <c r="A176" s="139"/>
      <c r="F176" s="330"/>
      <c r="G176" s="330"/>
    </row>
    <row r="177" spans="2:17">
      <c r="B177" s="421"/>
      <c r="C177" s="421"/>
      <c r="D177" s="421"/>
      <c r="E177" s="421"/>
      <c r="F177" s="330"/>
      <c r="G177" s="330"/>
      <c r="H177" s="421"/>
      <c r="I177" s="421"/>
      <c r="J177" s="421"/>
      <c r="K177" s="421"/>
      <c r="L177" s="421"/>
      <c r="M177" s="421"/>
      <c r="N177" s="421"/>
      <c r="O177" s="421"/>
      <c r="P177" s="421"/>
      <c r="Q177" s="421"/>
    </row>
    <row r="178" spans="2:17">
      <c r="B178" s="421"/>
      <c r="C178" s="421"/>
      <c r="D178" s="421"/>
      <c r="E178" s="421"/>
      <c r="F178" s="330"/>
      <c r="G178" s="330"/>
      <c r="H178" s="421"/>
      <c r="I178" s="421"/>
      <c r="J178" s="421"/>
      <c r="K178" s="421"/>
      <c r="L178" s="421"/>
      <c r="M178" s="421"/>
      <c r="N178" s="421"/>
      <c r="O178" s="421"/>
      <c r="P178" s="421"/>
      <c r="Q178" s="421"/>
    </row>
    <row r="179" spans="2:17">
      <c r="B179" s="421"/>
      <c r="C179" s="421"/>
      <c r="D179" s="421"/>
      <c r="E179" s="421"/>
      <c r="F179" s="330"/>
      <c r="G179" s="330"/>
      <c r="I179" s="421"/>
      <c r="J179" s="421"/>
      <c r="K179" s="421"/>
      <c r="L179" s="421"/>
      <c r="M179" s="421"/>
      <c r="N179" s="421"/>
      <c r="O179" s="421"/>
      <c r="P179" s="421"/>
      <c r="Q179" s="421"/>
    </row>
  </sheetData>
  <mergeCells count="17">
    <mergeCell ref="F27:G27"/>
    <mergeCell ref="H27:Q27"/>
    <mergeCell ref="A4:O4"/>
    <mergeCell ref="A5:O5"/>
    <mergeCell ref="F8:I8"/>
    <mergeCell ref="A23:Q23"/>
    <mergeCell ref="A24:Q24"/>
    <mergeCell ref="O29:O30"/>
    <mergeCell ref="Q29:Q30"/>
    <mergeCell ref="A31:Q31"/>
    <mergeCell ref="D76:F76"/>
    <mergeCell ref="A29:A30"/>
    <mergeCell ref="B29:B30"/>
    <mergeCell ref="G29:G30"/>
    <mergeCell ref="I29:I30"/>
    <mergeCell ref="K29:K30"/>
    <mergeCell ref="M29:M30"/>
  </mergeCells>
  <phoneticPr fontId="50" type="noConversion"/>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F4F94-826B-44AB-B5BC-F45EB7B808DF}">
  <sheetPr>
    <tabColor indexed="62"/>
  </sheetPr>
  <dimension ref="A1:S267"/>
  <sheetViews>
    <sheetView topLeftCell="A26" zoomScale="90" zoomScaleNormal="90" workbookViewId="0">
      <selection activeCell="D112" sqref="D112"/>
    </sheetView>
  </sheetViews>
  <sheetFormatPr defaultColWidth="8.85546875" defaultRowHeight="15.75"/>
  <cols>
    <col min="1" max="1" width="14" style="139" customWidth="1"/>
    <col min="2" max="2" width="8.7109375" style="139" customWidth="1"/>
    <col min="3" max="3" width="22.85546875" style="139" customWidth="1"/>
    <col min="4" max="4" width="51" style="139" customWidth="1"/>
    <col min="5" max="5" width="17" style="139" customWidth="1"/>
    <col min="6" max="6" width="18.28515625" style="333" customWidth="1"/>
    <col min="7" max="7" width="16" style="333"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315" t="s">
        <v>1339</v>
      </c>
      <c r="B4" s="1020"/>
      <c r="C4" s="1020"/>
      <c r="D4" s="1020"/>
      <c r="E4" s="1020"/>
      <c r="F4" s="1020"/>
      <c r="G4" s="1020"/>
      <c r="H4" s="1020"/>
      <c r="I4" s="1020"/>
      <c r="J4" s="1020"/>
      <c r="K4" s="1020"/>
      <c r="L4" s="1020"/>
      <c r="M4" s="1020"/>
      <c r="N4" s="1020"/>
      <c r="O4" s="1020"/>
      <c r="P4" s="256"/>
      <c r="Q4" s="256"/>
    </row>
    <row r="5" spans="1:17" s="149" customFormat="1" ht="46.5" customHeight="1">
      <c r="A5" s="1316" t="s">
        <v>1340</v>
      </c>
      <c r="B5" s="1045"/>
      <c r="C5" s="1045"/>
      <c r="D5" s="1045"/>
      <c r="E5" s="1045"/>
      <c r="F5" s="1045"/>
      <c r="G5" s="1045"/>
      <c r="H5" s="1045"/>
      <c r="I5" s="1045"/>
      <c r="J5" s="1045"/>
      <c r="K5" s="1045"/>
      <c r="L5" s="1045"/>
      <c r="M5" s="1045"/>
      <c r="N5" s="1045"/>
      <c r="O5" s="1045"/>
      <c r="P5" s="266"/>
      <c r="Q5" s="266"/>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317" t="s">
        <v>0</v>
      </c>
      <c r="G8" s="1317"/>
      <c r="H8" s="1317"/>
      <c r="I8" s="1317"/>
      <c r="J8" s="139"/>
      <c r="K8" s="139"/>
      <c r="L8" s="139"/>
    </row>
    <row r="9" spans="1:17" s="148" customFormat="1" ht="14.25">
      <c r="F9" s="182" t="s">
        <v>261</v>
      </c>
      <c r="G9" s="265" t="s">
        <v>1283</v>
      </c>
      <c r="I9" s="159"/>
      <c r="J9" s="159"/>
      <c r="L9" s="159"/>
    </row>
    <row r="10" spans="1:17" s="148" customFormat="1" ht="14.25">
      <c r="F10" s="182" t="s">
        <v>7</v>
      </c>
      <c r="G10" s="408" t="s">
        <v>1341</v>
      </c>
      <c r="I10" s="159"/>
      <c r="J10" s="159"/>
      <c r="L10" s="159"/>
    </row>
    <row r="11" spans="1:17" s="148" customFormat="1" ht="14.25">
      <c r="F11" s="182" t="s">
        <v>8</v>
      </c>
      <c r="G11" s="408" t="s">
        <v>1342</v>
      </c>
      <c r="I11" s="159"/>
      <c r="J11" s="159"/>
      <c r="L11" s="159"/>
    </row>
    <row r="12" spans="1:17" s="148" customFormat="1" ht="14.25">
      <c r="F12" s="182" t="s">
        <v>10</v>
      </c>
      <c r="G12" s="408" t="s">
        <v>1286</v>
      </c>
      <c r="I12" s="159"/>
      <c r="J12" s="159"/>
      <c r="L12" s="159"/>
    </row>
    <row r="13" spans="1:17" s="148" customFormat="1" ht="14.25">
      <c r="D13" s="160"/>
      <c r="E13" s="160"/>
      <c r="F13" s="182" t="s">
        <v>185</v>
      </c>
      <c r="G13" s="408" t="s">
        <v>1343</v>
      </c>
      <c r="I13" s="159"/>
      <c r="J13" s="159"/>
      <c r="L13" s="159"/>
    </row>
    <row r="14" spans="1:17" s="148" customFormat="1" ht="14.25">
      <c r="F14" s="182"/>
      <c r="G14" s="408" t="s">
        <v>1344</v>
      </c>
      <c r="I14" s="159"/>
      <c r="J14" s="159"/>
      <c r="L14" s="159"/>
    </row>
    <row r="15" spans="1:17" s="148" customFormat="1" ht="14.25">
      <c r="F15" s="182" t="s">
        <v>14</v>
      </c>
      <c r="G15" s="408" t="s">
        <v>272</v>
      </c>
      <c r="I15" s="159"/>
      <c r="J15" s="159"/>
      <c r="L15" s="887"/>
    </row>
    <row r="16" spans="1:17" s="148" customFormat="1" ht="14.25">
      <c r="F16" s="182" t="s">
        <v>18</v>
      </c>
      <c r="G16" s="408" t="s">
        <v>1289</v>
      </c>
      <c r="I16" s="162"/>
      <c r="J16" s="162"/>
      <c r="L16" s="162"/>
    </row>
    <row r="17" spans="1:19" s="148" customFormat="1" ht="14.25">
      <c r="F17" s="182" t="s">
        <v>276</v>
      </c>
      <c r="G17" s="408" t="s">
        <v>1290</v>
      </c>
      <c r="I17" s="162"/>
      <c r="J17" s="162"/>
      <c r="L17" s="162"/>
    </row>
    <row r="18" spans="1:19" s="148" customFormat="1" ht="14.25">
      <c r="F18" s="182" t="s">
        <v>26</v>
      </c>
      <c r="G18" s="408" t="s">
        <v>1291</v>
      </c>
      <c r="I18" s="162"/>
      <c r="J18" s="162"/>
      <c r="L18" s="162"/>
    </row>
    <row r="19" spans="1:19" s="148" customFormat="1" ht="14.25">
      <c r="F19" s="182" t="s">
        <v>28</v>
      </c>
      <c r="G19" s="408" t="s">
        <v>1292</v>
      </c>
      <c r="I19" s="162"/>
      <c r="J19" s="162"/>
      <c r="L19" s="162"/>
    </row>
    <row r="20" spans="1:19" s="148" customFormat="1" ht="14.25">
      <c r="F20" s="182"/>
      <c r="G20" s="408"/>
      <c r="I20" s="162"/>
      <c r="J20" s="162"/>
      <c r="L20" s="162"/>
    </row>
    <row r="21" spans="1:19" s="148" customFormat="1" ht="14.25">
      <c r="F21" s="182"/>
      <c r="G21" s="408"/>
      <c r="I21" s="162"/>
      <c r="J21" s="162"/>
      <c r="L21" s="162"/>
    </row>
    <row r="22" spans="1:19" s="148" customFormat="1" ht="14.25">
      <c r="D22" s="165"/>
      <c r="E22" s="165"/>
      <c r="F22" s="182"/>
      <c r="G22" s="409"/>
      <c r="K22" s="162"/>
    </row>
    <row r="23" spans="1:19" s="265" customFormat="1" ht="16.5" thickBot="1">
      <c r="A23" s="1179" t="s">
        <v>30</v>
      </c>
      <c r="B23" s="1322"/>
      <c r="C23" s="1322"/>
      <c r="D23" s="1322"/>
      <c r="E23" s="1322"/>
      <c r="F23" s="1322"/>
      <c r="G23" s="1322"/>
      <c r="H23" s="1322"/>
      <c r="I23" s="1322"/>
      <c r="J23" s="1322"/>
      <c r="K23" s="1322"/>
      <c r="L23" s="1322"/>
      <c r="M23" s="1322"/>
      <c r="N23" s="1020"/>
      <c r="O23" s="1030"/>
      <c r="P23" s="256"/>
      <c r="Q23" s="256"/>
    </row>
    <row r="24" spans="1:19" s="265" customFormat="1" ht="13.9" customHeight="1" thickBot="1">
      <c r="A24" s="1323" t="s">
        <v>1065</v>
      </c>
      <c r="B24" s="1324"/>
      <c r="C24" s="1324"/>
      <c r="D24" s="1324"/>
      <c r="E24" s="1324"/>
      <c r="F24" s="1324"/>
      <c r="G24" s="1324"/>
      <c r="H24" s="1324"/>
      <c r="I24" s="1324"/>
      <c r="J24" s="1324"/>
      <c r="K24" s="1324"/>
      <c r="L24" s="1324"/>
      <c r="M24" s="1324"/>
      <c r="N24" s="1324"/>
      <c r="O24" s="1325"/>
      <c r="P24" s="429"/>
      <c r="Q24" s="429"/>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1021" t="s">
        <v>43</v>
      </c>
      <c r="G27" s="1022"/>
      <c r="H27" s="1312" t="s">
        <v>44</v>
      </c>
      <c r="I27" s="1313"/>
      <c r="J27" s="1313"/>
      <c r="K27" s="1313"/>
      <c r="L27" s="1313"/>
      <c r="M27" s="1313"/>
      <c r="N27" s="1313"/>
      <c r="O27" s="1313"/>
      <c r="P27" s="1313"/>
      <c r="Q27" s="1314"/>
    </row>
    <row r="28" spans="1:19" s="170" customFormat="1" ht="63.75" customHeight="1" thickBot="1">
      <c r="A28" s="168" t="s">
        <v>45</v>
      </c>
      <c r="B28" s="168" t="s">
        <v>46</v>
      </c>
      <c r="C28" s="169" t="s">
        <v>47</v>
      </c>
      <c r="D28" s="169" t="s">
        <v>48</v>
      </c>
      <c r="E28" s="169" t="s">
        <v>49</v>
      </c>
      <c r="F28" s="169" t="s">
        <v>50</v>
      </c>
      <c r="G28" s="168" t="s">
        <v>51</v>
      </c>
      <c r="H28" s="169" t="s">
        <v>53</v>
      </c>
      <c r="I28" s="168" t="s">
        <v>51</v>
      </c>
      <c r="J28" s="169" t="s">
        <v>54</v>
      </c>
      <c r="K28" s="168" t="s">
        <v>51</v>
      </c>
      <c r="L28" s="169" t="s">
        <v>55</v>
      </c>
      <c r="M28" s="168" t="s">
        <v>51</v>
      </c>
      <c r="N28" s="169" t="s">
        <v>847</v>
      </c>
      <c r="O28" s="168" t="s">
        <v>51</v>
      </c>
      <c r="P28" s="169" t="s">
        <v>848</v>
      </c>
      <c r="Q28" s="168" t="s">
        <v>51</v>
      </c>
    </row>
    <row r="29" spans="1:19" s="171" customFormat="1" ht="26.25" customHeight="1" thickBot="1">
      <c r="A29" s="1306" t="s">
        <v>1293</v>
      </c>
      <c r="B29" s="1308"/>
      <c r="C29" s="954" t="s">
        <v>4095</v>
      </c>
      <c r="D29" s="955" t="s">
        <v>1345</v>
      </c>
      <c r="E29" s="953">
        <v>94350.8</v>
      </c>
      <c r="F29" s="28">
        <f>SUM(E29:E30)*(1-61%)</f>
        <v>36897.822</v>
      </c>
      <c r="G29" s="1011">
        <f>F29*B29</f>
        <v>0</v>
      </c>
      <c r="H29" s="29">
        <f>F29*0.03137</f>
        <v>1157.4846761400001</v>
      </c>
      <c r="I29" s="1011">
        <f>H29*B29</f>
        <v>0</v>
      </c>
      <c r="J29" s="29">
        <f>F29*0.0274</f>
        <v>1011.0003228</v>
      </c>
      <c r="K29" s="1011">
        <f>J29*B29</f>
        <v>0</v>
      </c>
      <c r="L29" s="410">
        <f>F29*0.0228</f>
        <v>841.27034160000005</v>
      </c>
      <c r="M29" s="1011">
        <f>L29*B29</f>
        <v>0</v>
      </c>
      <c r="N29" s="410">
        <f>F29*0.0204</f>
        <v>752.71556880000003</v>
      </c>
      <c r="O29" s="1011">
        <f>N29*B29</f>
        <v>0</v>
      </c>
      <c r="P29" s="410">
        <f>F29*0.0185</f>
        <v>682.60970699999996</v>
      </c>
      <c r="Q29" s="1011">
        <f>P29*B29</f>
        <v>0</v>
      </c>
    </row>
    <row r="30" spans="1:19" s="180" customFormat="1" ht="13.5" customHeight="1" thickBot="1">
      <c r="A30" s="1307"/>
      <c r="B30" s="1309"/>
      <c r="C30" s="411" t="s">
        <v>424</v>
      </c>
      <c r="D30" s="412" t="s">
        <v>57</v>
      </c>
      <c r="E30" s="413">
        <v>259</v>
      </c>
      <c r="F30" s="306" t="s">
        <v>35</v>
      </c>
      <c r="G30" s="1310"/>
      <c r="H30" s="306" t="s">
        <v>35</v>
      </c>
      <c r="I30" s="1310"/>
      <c r="J30" s="306" t="s">
        <v>35</v>
      </c>
      <c r="K30" s="1310"/>
      <c r="L30" s="301" t="s">
        <v>35</v>
      </c>
      <c r="M30" s="1311"/>
      <c r="N30" s="301" t="s">
        <v>35</v>
      </c>
      <c r="O30" s="1299"/>
      <c r="P30" s="301" t="s">
        <v>35</v>
      </c>
      <c r="Q30" s="1299"/>
    </row>
    <row r="31" spans="1:19" s="180" customFormat="1" ht="13.9" customHeight="1" thickBot="1">
      <c r="A31" s="1300" t="s">
        <v>59</v>
      </c>
      <c r="B31" s="1301"/>
      <c r="C31" s="1301"/>
      <c r="D31" s="1301"/>
      <c r="E31" s="1301"/>
      <c r="F31" s="1301"/>
      <c r="G31" s="1301"/>
      <c r="H31" s="1301"/>
      <c r="I31" s="1301"/>
      <c r="J31" s="1301"/>
      <c r="K31" s="1301"/>
      <c r="L31" s="1301"/>
      <c r="M31" s="1301"/>
      <c r="N31" s="1301"/>
      <c r="O31" s="1301"/>
      <c r="P31" s="1301"/>
      <c r="Q31" s="1302"/>
      <c r="R31" s="415"/>
      <c r="S31" s="415"/>
    </row>
    <row r="32" spans="1:19" s="180" customFormat="1" ht="13.5" thickBot="1">
      <c r="A32" s="1320"/>
      <c r="B32" s="416"/>
      <c r="C32" s="417" t="s">
        <v>1398</v>
      </c>
      <c r="D32" s="418" t="s">
        <v>4002</v>
      </c>
      <c r="E32" s="889">
        <v>3439.8</v>
      </c>
      <c r="F32" s="8">
        <f t="shared" ref="F32:F92" si="0">E32*(1-45%)</f>
        <v>1891.8900000000003</v>
      </c>
      <c r="G32" s="10">
        <f t="shared" ref="G32:G92" si="1">F32*B32</f>
        <v>0</v>
      </c>
      <c r="H32" s="11">
        <f t="shared" ref="H32:H92" si="2">F32*0.03137</f>
        <v>59.348589300000015</v>
      </c>
      <c r="I32" s="11">
        <f t="shared" ref="I32:I92" si="3">H32*B32</f>
        <v>0</v>
      </c>
      <c r="J32" s="11">
        <f t="shared" ref="J32:J92" si="4">F32*0.0274</f>
        <v>51.837786000000008</v>
      </c>
      <c r="K32" s="11">
        <f t="shared" ref="K32:K92" si="5">J32*B32</f>
        <v>0</v>
      </c>
      <c r="L32" s="11">
        <f t="shared" ref="L32:L92" si="6">F32*0.0228</f>
        <v>43.135092000000007</v>
      </c>
      <c r="M32" s="11">
        <f t="shared" ref="M32:M92" si="7">L32*B32</f>
        <v>0</v>
      </c>
      <c r="N32" s="11">
        <f t="shared" ref="N32:N92" si="8">F32*0.0204</f>
        <v>38.594556000000011</v>
      </c>
      <c r="O32" s="11">
        <f t="shared" ref="O32:O92" si="9">N32*B32</f>
        <v>0</v>
      </c>
      <c r="P32" s="11">
        <f t="shared" ref="P32:P92" si="10">F32*0.0185</f>
        <v>34.999965000000003</v>
      </c>
      <c r="Q32" s="11">
        <f t="shared" ref="Q32:Q92" si="11">P32*B32</f>
        <v>0</v>
      </c>
      <c r="R32" s="531"/>
      <c r="S32" s="415"/>
    </row>
    <row r="33" spans="1:19" s="180" customFormat="1" ht="13.5" thickBot="1">
      <c r="A33" s="1320"/>
      <c r="B33" s="416"/>
      <c r="C33" s="417" t="s">
        <v>1177</v>
      </c>
      <c r="D33" s="952" t="s">
        <v>3979</v>
      </c>
      <c r="E33" s="889">
        <v>499</v>
      </c>
      <c r="F33" s="8">
        <f t="shared" si="0"/>
        <v>274.45000000000005</v>
      </c>
      <c r="G33" s="10">
        <f t="shared" si="1"/>
        <v>0</v>
      </c>
      <c r="H33" s="11">
        <f t="shared" si="2"/>
        <v>8.6094965000000023</v>
      </c>
      <c r="I33" s="11">
        <f t="shared" si="3"/>
        <v>0</v>
      </c>
      <c r="J33" s="11">
        <f t="shared" si="4"/>
        <v>7.5199300000000013</v>
      </c>
      <c r="K33" s="11">
        <f t="shared" si="5"/>
        <v>0</v>
      </c>
      <c r="L33" s="11">
        <f t="shared" si="6"/>
        <v>6.2574600000000009</v>
      </c>
      <c r="M33" s="11">
        <f t="shared" si="7"/>
        <v>0</v>
      </c>
      <c r="N33" s="11">
        <f t="shared" si="8"/>
        <v>5.5987800000000014</v>
      </c>
      <c r="O33" s="11">
        <f t="shared" si="9"/>
        <v>0</v>
      </c>
      <c r="P33" s="11">
        <f t="shared" si="10"/>
        <v>5.077325000000001</v>
      </c>
      <c r="Q33" s="11">
        <f t="shared" si="11"/>
        <v>0</v>
      </c>
      <c r="R33" s="531"/>
      <c r="S33" s="415"/>
    </row>
    <row r="34" spans="1:19" s="180" customFormat="1" ht="13.5" thickBot="1">
      <c r="A34" s="1320"/>
      <c r="B34" s="416"/>
      <c r="C34" s="419" t="s">
        <v>3980</v>
      </c>
      <c r="D34" s="420" t="s">
        <v>3981</v>
      </c>
      <c r="E34" s="889">
        <v>5000</v>
      </c>
      <c r="F34" s="8">
        <f t="shared" si="0"/>
        <v>2750</v>
      </c>
      <c r="G34" s="10">
        <f t="shared" si="1"/>
        <v>0</v>
      </c>
      <c r="H34" s="11">
        <f t="shared" si="2"/>
        <v>86.267500000000013</v>
      </c>
      <c r="I34" s="11">
        <f t="shared" si="3"/>
        <v>0</v>
      </c>
      <c r="J34" s="11">
        <f t="shared" si="4"/>
        <v>75.350000000000009</v>
      </c>
      <c r="K34" s="11">
        <f t="shared" si="5"/>
        <v>0</v>
      </c>
      <c r="L34" s="11">
        <f t="shared" si="6"/>
        <v>62.7</v>
      </c>
      <c r="M34" s="11">
        <f t="shared" si="7"/>
        <v>0</v>
      </c>
      <c r="N34" s="11">
        <f t="shared" si="8"/>
        <v>56.1</v>
      </c>
      <c r="O34" s="11">
        <f t="shared" si="9"/>
        <v>0</v>
      </c>
      <c r="P34" s="11">
        <f t="shared" si="10"/>
        <v>50.875</v>
      </c>
      <c r="Q34" s="11">
        <f t="shared" si="11"/>
        <v>0</v>
      </c>
      <c r="R34" s="531"/>
      <c r="S34" s="415"/>
    </row>
    <row r="35" spans="1:19" s="180" customFormat="1" ht="13.5" thickBot="1">
      <c r="A35" s="1320"/>
      <c r="B35" s="416"/>
      <c r="C35" s="419" t="s">
        <v>105</v>
      </c>
      <c r="D35" s="420" t="s">
        <v>325</v>
      </c>
      <c r="E35" s="889">
        <v>399</v>
      </c>
      <c r="F35" s="8">
        <f t="shared" si="0"/>
        <v>219.45000000000002</v>
      </c>
      <c r="G35" s="10">
        <f t="shared" si="1"/>
        <v>0</v>
      </c>
      <c r="H35" s="11">
        <f t="shared" si="2"/>
        <v>6.8841465000000008</v>
      </c>
      <c r="I35" s="11">
        <f t="shared" si="3"/>
        <v>0</v>
      </c>
      <c r="J35" s="11">
        <f t="shared" si="4"/>
        <v>6.0129300000000008</v>
      </c>
      <c r="K35" s="11">
        <f t="shared" si="5"/>
        <v>0</v>
      </c>
      <c r="L35" s="11">
        <f t="shared" si="6"/>
        <v>5.0034600000000005</v>
      </c>
      <c r="M35" s="11">
        <f t="shared" si="7"/>
        <v>0</v>
      </c>
      <c r="N35" s="11">
        <f t="shared" si="8"/>
        <v>4.4767800000000006</v>
      </c>
      <c r="O35" s="11">
        <f t="shared" si="9"/>
        <v>0</v>
      </c>
      <c r="P35" s="11">
        <f t="shared" si="10"/>
        <v>4.059825</v>
      </c>
      <c r="Q35" s="11">
        <f t="shared" si="11"/>
        <v>0</v>
      </c>
      <c r="R35" s="531"/>
      <c r="S35" s="415"/>
    </row>
    <row r="36" spans="1:19" s="180" customFormat="1" ht="13.5" thickBot="1">
      <c r="A36" s="1320"/>
      <c r="B36" s="416"/>
      <c r="C36" s="419" t="s">
        <v>3982</v>
      </c>
      <c r="D36" s="420" t="s">
        <v>3983</v>
      </c>
      <c r="E36" s="889">
        <v>2800</v>
      </c>
      <c r="F36" s="8">
        <f t="shared" si="0"/>
        <v>1540.0000000000002</v>
      </c>
      <c r="G36" s="10">
        <f t="shared" si="1"/>
        <v>0</v>
      </c>
      <c r="H36" s="11">
        <f t="shared" si="2"/>
        <v>48.30980000000001</v>
      </c>
      <c r="I36" s="11">
        <f t="shared" si="3"/>
        <v>0</v>
      </c>
      <c r="J36" s="11">
        <f t="shared" si="4"/>
        <v>42.196000000000005</v>
      </c>
      <c r="K36" s="11">
        <f t="shared" si="5"/>
        <v>0</v>
      </c>
      <c r="L36" s="11">
        <f t="shared" si="6"/>
        <v>35.112000000000009</v>
      </c>
      <c r="M36" s="11">
        <f t="shared" si="7"/>
        <v>0</v>
      </c>
      <c r="N36" s="11">
        <f t="shared" si="8"/>
        <v>31.416000000000007</v>
      </c>
      <c r="O36" s="11">
        <f t="shared" si="9"/>
        <v>0</v>
      </c>
      <c r="P36" s="11">
        <f t="shared" si="10"/>
        <v>28.490000000000002</v>
      </c>
      <c r="Q36" s="11">
        <f t="shared" si="11"/>
        <v>0</v>
      </c>
      <c r="R36" s="531"/>
      <c r="S36" s="415"/>
    </row>
    <row r="37" spans="1:19" s="180" customFormat="1" ht="13.5" thickBot="1">
      <c r="A37" s="1320"/>
      <c r="B37" s="416"/>
      <c r="C37" s="417" t="s">
        <v>4003</v>
      </c>
      <c r="D37" s="418" t="s">
        <v>4004</v>
      </c>
      <c r="E37" s="889">
        <v>5000</v>
      </c>
      <c r="F37" s="8">
        <f t="shared" si="0"/>
        <v>2750</v>
      </c>
      <c r="G37" s="10">
        <f t="shared" si="1"/>
        <v>0</v>
      </c>
      <c r="H37" s="11">
        <f t="shared" si="2"/>
        <v>86.267500000000013</v>
      </c>
      <c r="I37" s="11">
        <f t="shared" si="3"/>
        <v>0</v>
      </c>
      <c r="J37" s="11">
        <f t="shared" si="4"/>
        <v>75.350000000000009</v>
      </c>
      <c r="K37" s="11">
        <f t="shared" si="5"/>
        <v>0</v>
      </c>
      <c r="L37" s="11">
        <f t="shared" si="6"/>
        <v>62.7</v>
      </c>
      <c r="M37" s="11">
        <f t="shared" si="7"/>
        <v>0</v>
      </c>
      <c r="N37" s="11">
        <f t="shared" si="8"/>
        <v>56.1</v>
      </c>
      <c r="O37" s="11">
        <f t="shared" si="9"/>
        <v>0</v>
      </c>
      <c r="P37" s="11">
        <f t="shared" si="10"/>
        <v>50.875</v>
      </c>
      <c r="Q37" s="11">
        <f t="shared" si="11"/>
        <v>0</v>
      </c>
      <c r="R37" s="531"/>
      <c r="S37" s="415"/>
    </row>
    <row r="38" spans="1:19" s="180" customFormat="1" ht="13.5" thickBot="1">
      <c r="A38" s="1320"/>
      <c r="B38" s="416"/>
      <c r="C38" s="419" t="s">
        <v>1193</v>
      </c>
      <c r="D38" s="420" t="s">
        <v>1194</v>
      </c>
      <c r="E38" s="889">
        <v>13953.14</v>
      </c>
      <c r="F38" s="8">
        <f t="shared" si="0"/>
        <v>7674.2269999999999</v>
      </c>
      <c r="G38" s="10">
        <f t="shared" si="1"/>
        <v>0</v>
      </c>
      <c r="H38" s="11">
        <f t="shared" si="2"/>
        <v>240.74050099000002</v>
      </c>
      <c r="I38" s="11">
        <f t="shared" si="3"/>
        <v>0</v>
      </c>
      <c r="J38" s="11">
        <f t="shared" si="4"/>
        <v>210.27381980000001</v>
      </c>
      <c r="K38" s="11">
        <f t="shared" si="5"/>
        <v>0</v>
      </c>
      <c r="L38" s="11">
        <f t="shared" si="6"/>
        <v>174.97237559999999</v>
      </c>
      <c r="M38" s="11">
        <f t="shared" si="7"/>
        <v>0</v>
      </c>
      <c r="N38" s="11">
        <f t="shared" si="8"/>
        <v>156.5542308</v>
      </c>
      <c r="O38" s="11">
        <f t="shared" si="9"/>
        <v>0</v>
      </c>
      <c r="P38" s="11">
        <f t="shared" si="10"/>
        <v>141.97319949999999</v>
      </c>
      <c r="Q38" s="11">
        <f t="shared" si="11"/>
        <v>0</v>
      </c>
      <c r="R38" s="531"/>
      <c r="S38" s="415"/>
    </row>
    <row r="39" spans="1:19" s="180" customFormat="1" ht="13.5" thickBot="1">
      <c r="A39" s="1320"/>
      <c r="B39" s="416"/>
      <c r="C39" s="417" t="s">
        <v>1197</v>
      </c>
      <c r="D39" s="418" t="s">
        <v>4096</v>
      </c>
      <c r="E39" s="889">
        <v>4436.03</v>
      </c>
      <c r="F39" s="8">
        <f t="shared" si="0"/>
        <v>2439.8164999999999</v>
      </c>
      <c r="G39" s="10">
        <f t="shared" si="1"/>
        <v>0</v>
      </c>
      <c r="H39" s="11">
        <f t="shared" si="2"/>
        <v>76.537043605000008</v>
      </c>
      <c r="I39" s="11">
        <f t="shared" si="3"/>
        <v>0</v>
      </c>
      <c r="J39" s="11">
        <f t="shared" si="4"/>
        <v>66.850972099999993</v>
      </c>
      <c r="K39" s="11">
        <f t="shared" si="5"/>
        <v>0</v>
      </c>
      <c r="L39" s="11">
        <f t="shared" si="6"/>
        <v>55.627816199999998</v>
      </c>
      <c r="M39" s="11">
        <f t="shared" si="7"/>
        <v>0</v>
      </c>
      <c r="N39" s="11">
        <f t="shared" si="8"/>
        <v>49.772256599999999</v>
      </c>
      <c r="O39" s="11">
        <f t="shared" si="9"/>
        <v>0</v>
      </c>
      <c r="P39" s="11">
        <f t="shared" si="10"/>
        <v>45.136605249999995</v>
      </c>
      <c r="Q39" s="11">
        <f t="shared" si="11"/>
        <v>0</v>
      </c>
      <c r="R39" s="531"/>
      <c r="S39" s="415"/>
    </row>
    <row r="40" spans="1:19" s="180" customFormat="1" ht="13.5" thickBot="1">
      <c r="A40" s="1320"/>
      <c r="B40" s="416"/>
      <c r="C40" s="419" t="s">
        <v>1195</v>
      </c>
      <c r="D40" s="420" t="s">
        <v>1196</v>
      </c>
      <c r="E40" s="889">
        <v>3699.7</v>
      </c>
      <c r="F40" s="8">
        <f t="shared" si="0"/>
        <v>2034.835</v>
      </c>
      <c r="G40" s="10">
        <f t="shared" si="1"/>
        <v>0</v>
      </c>
      <c r="H40" s="11">
        <f t="shared" si="2"/>
        <v>63.832773950000004</v>
      </c>
      <c r="I40" s="11">
        <f t="shared" si="3"/>
        <v>0</v>
      </c>
      <c r="J40" s="11">
        <f t="shared" si="4"/>
        <v>55.754479000000003</v>
      </c>
      <c r="K40" s="11">
        <f t="shared" si="5"/>
        <v>0</v>
      </c>
      <c r="L40" s="11">
        <f t="shared" si="6"/>
        <v>46.394238000000001</v>
      </c>
      <c r="M40" s="11">
        <f t="shared" si="7"/>
        <v>0</v>
      </c>
      <c r="N40" s="11">
        <f t="shared" si="8"/>
        <v>41.510634000000003</v>
      </c>
      <c r="O40" s="11">
        <f t="shared" si="9"/>
        <v>0</v>
      </c>
      <c r="P40" s="11">
        <f t="shared" si="10"/>
        <v>37.644447499999998</v>
      </c>
      <c r="Q40" s="11">
        <f t="shared" si="11"/>
        <v>0</v>
      </c>
      <c r="R40" s="531"/>
      <c r="S40" s="415"/>
    </row>
    <row r="41" spans="1:19" s="180" customFormat="1" ht="13.5" thickBot="1">
      <c r="A41" s="1320"/>
      <c r="B41" s="416"/>
      <c r="C41" s="419" t="s">
        <v>1295</v>
      </c>
      <c r="D41" s="420" t="s">
        <v>1296</v>
      </c>
      <c r="E41" s="889">
        <v>3567.56</v>
      </c>
      <c r="F41" s="8">
        <f t="shared" si="0"/>
        <v>1962.1580000000001</v>
      </c>
      <c r="G41" s="10">
        <f t="shared" si="1"/>
        <v>0</v>
      </c>
      <c r="H41" s="11">
        <f t="shared" si="2"/>
        <v>61.552896460000007</v>
      </c>
      <c r="I41" s="11">
        <f t="shared" si="3"/>
        <v>0</v>
      </c>
      <c r="J41" s="11">
        <f t="shared" si="4"/>
        <v>53.763129200000002</v>
      </c>
      <c r="K41" s="11">
        <f t="shared" si="5"/>
        <v>0</v>
      </c>
      <c r="L41" s="11">
        <f t="shared" si="6"/>
        <v>44.737202400000001</v>
      </c>
      <c r="M41" s="11">
        <f t="shared" si="7"/>
        <v>0</v>
      </c>
      <c r="N41" s="11">
        <f t="shared" si="8"/>
        <v>40.028023200000007</v>
      </c>
      <c r="O41" s="11">
        <f t="shared" si="9"/>
        <v>0</v>
      </c>
      <c r="P41" s="11">
        <f t="shared" si="10"/>
        <v>36.299923</v>
      </c>
      <c r="Q41" s="11">
        <f t="shared" si="11"/>
        <v>0</v>
      </c>
      <c r="R41" s="531"/>
      <c r="S41" s="415"/>
    </row>
    <row r="42" spans="1:19" s="180" customFormat="1" ht="13.5" thickBot="1">
      <c r="A42" s="1320"/>
      <c r="B42" s="416"/>
      <c r="C42" s="419" t="s">
        <v>1089</v>
      </c>
      <c r="D42" s="420" t="s">
        <v>1090</v>
      </c>
      <c r="E42" s="889">
        <v>3606.97</v>
      </c>
      <c r="F42" s="8">
        <f t="shared" si="0"/>
        <v>1983.8335</v>
      </c>
      <c r="G42" s="10">
        <f t="shared" si="1"/>
        <v>0</v>
      </c>
      <c r="H42" s="11">
        <f t="shared" si="2"/>
        <v>62.232856895000005</v>
      </c>
      <c r="I42" s="11">
        <f t="shared" si="3"/>
        <v>0</v>
      </c>
      <c r="J42" s="11">
        <f t="shared" si="4"/>
        <v>54.357037900000002</v>
      </c>
      <c r="K42" s="11">
        <f t="shared" si="5"/>
        <v>0</v>
      </c>
      <c r="L42" s="11">
        <f t="shared" si="6"/>
        <v>45.231403800000002</v>
      </c>
      <c r="M42" s="11">
        <f t="shared" si="7"/>
        <v>0</v>
      </c>
      <c r="N42" s="11">
        <f t="shared" si="8"/>
        <v>40.470203400000003</v>
      </c>
      <c r="O42" s="11">
        <f t="shared" si="9"/>
        <v>0</v>
      </c>
      <c r="P42" s="11">
        <f t="shared" si="10"/>
        <v>36.700919749999997</v>
      </c>
      <c r="Q42" s="11">
        <f t="shared" si="11"/>
        <v>0</v>
      </c>
      <c r="R42" s="531"/>
      <c r="S42" s="415"/>
    </row>
    <row r="43" spans="1:19" s="180" customFormat="1" ht="13.5" thickBot="1">
      <c r="A43" s="1320"/>
      <c r="B43" s="416"/>
      <c r="C43" s="419" t="s">
        <v>1069</v>
      </c>
      <c r="D43" s="420" t="s">
        <v>1070</v>
      </c>
      <c r="E43" s="889">
        <v>1701.26</v>
      </c>
      <c r="F43" s="8">
        <f t="shared" si="0"/>
        <v>935.6930000000001</v>
      </c>
      <c r="G43" s="10">
        <f t="shared" si="1"/>
        <v>0</v>
      </c>
      <c r="H43" s="11">
        <f t="shared" si="2"/>
        <v>29.352689410000004</v>
      </c>
      <c r="I43" s="11">
        <f t="shared" si="3"/>
        <v>0</v>
      </c>
      <c r="J43" s="11">
        <f t="shared" si="4"/>
        <v>25.637988200000002</v>
      </c>
      <c r="K43" s="11">
        <f t="shared" si="5"/>
        <v>0</v>
      </c>
      <c r="L43" s="11">
        <f t="shared" si="6"/>
        <v>21.333800400000001</v>
      </c>
      <c r="M43" s="11">
        <f t="shared" si="7"/>
        <v>0</v>
      </c>
      <c r="N43" s="11">
        <f t="shared" si="8"/>
        <v>19.088137200000002</v>
      </c>
      <c r="O43" s="11">
        <f t="shared" si="9"/>
        <v>0</v>
      </c>
      <c r="P43" s="11">
        <f t="shared" si="10"/>
        <v>17.3103205</v>
      </c>
      <c r="Q43" s="11">
        <f t="shared" si="11"/>
        <v>0</v>
      </c>
      <c r="R43" s="531"/>
      <c r="S43" s="415"/>
    </row>
    <row r="44" spans="1:19" s="180" customFormat="1" ht="13.5" thickBot="1">
      <c r="A44" s="1320"/>
      <c r="B44" s="416"/>
      <c r="C44" s="419" t="s">
        <v>1095</v>
      </c>
      <c r="D44" s="420" t="s">
        <v>1096</v>
      </c>
      <c r="E44" s="889">
        <v>4637.54</v>
      </c>
      <c r="F44" s="8">
        <f t="shared" si="0"/>
        <v>2550.6470000000004</v>
      </c>
      <c r="G44" s="10">
        <f t="shared" si="1"/>
        <v>0</v>
      </c>
      <c r="H44" s="11">
        <f t="shared" si="2"/>
        <v>80.013796390000024</v>
      </c>
      <c r="I44" s="11">
        <f t="shared" si="3"/>
        <v>0</v>
      </c>
      <c r="J44" s="11">
        <f t="shared" si="4"/>
        <v>69.887727800000008</v>
      </c>
      <c r="K44" s="11">
        <f t="shared" si="5"/>
        <v>0</v>
      </c>
      <c r="L44" s="11">
        <f t="shared" si="6"/>
        <v>58.154751600000012</v>
      </c>
      <c r="M44" s="11">
        <f t="shared" si="7"/>
        <v>0</v>
      </c>
      <c r="N44" s="11">
        <f t="shared" si="8"/>
        <v>52.033198800000015</v>
      </c>
      <c r="O44" s="11">
        <f t="shared" si="9"/>
        <v>0</v>
      </c>
      <c r="P44" s="11">
        <f t="shared" si="10"/>
        <v>47.186969500000004</v>
      </c>
      <c r="Q44" s="11">
        <f t="shared" si="11"/>
        <v>0</v>
      </c>
      <c r="R44" s="531"/>
      <c r="S44" s="415"/>
    </row>
    <row r="45" spans="1:19" s="180" customFormat="1" ht="13.5" thickBot="1">
      <c r="A45" s="1320"/>
      <c r="B45" s="416"/>
      <c r="C45" s="417" t="s">
        <v>1083</v>
      </c>
      <c r="D45" s="418" t="s">
        <v>1084</v>
      </c>
      <c r="E45" s="889">
        <v>1422.19</v>
      </c>
      <c r="F45" s="8">
        <f t="shared" si="0"/>
        <v>782.20450000000005</v>
      </c>
      <c r="G45" s="10">
        <f t="shared" si="1"/>
        <v>0</v>
      </c>
      <c r="H45" s="11">
        <f t="shared" si="2"/>
        <v>24.537755165000004</v>
      </c>
      <c r="I45" s="11">
        <f t="shared" si="3"/>
        <v>0</v>
      </c>
      <c r="J45" s="11">
        <f t="shared" si="4"/>
        <v>21.432403300000001</v>
      </c>
      <c r="K45" s="11">
        <f t="shared" si="5"/>
        <v>0</v>
      </c>
      <c r="L45" s="11">
        <f t="shared" si="6"/>
        <v>17.834262600000002</v>
      </c>
      <c r="M45" s="11">
        <f t="shared" si="7"/>
        <v>0</v>
      </c>
      <c r="N45" s="11">
        <f t="shared" si="8"/>
        <v>15.956971800000002</v>
      </c>
      <c r="O45" s="11">
        <f t="shared" si="9"/>
        <v>0</v>
      </c>
      <c r="P45" s="11">
        <f t="shared" si="10"/>
        <v>14.47078325</v>
      </c>
      <c r="Q45" s="11">
        <f t="shared" si="11"/>
        <v>0</v>
      </c>
      <c r="R45" s="531"/>
      <c r="S45" s="415"/>
    </row>
    <row r="46" spans="1:19" s="180" customFormat="1" ht="13.5" thickBot="1">
      <c r="A46" s="1320"/>
      <c r="B46" s="416"/>
      <c r="C46" s="419" t="s">
        <v>1071</v>
      </c>
      <c r="D46" s="420" t="s">
        <v>1072</v>
      </c>
      <c r="E46" s="889">
        <v>1701.26</v>
      </c>
      <c r="F46" s="8">
        <f t="shared" si="0"/>
        <v>935.6930000000001</v>
      </c>
      <c r="G46" s="10">
        <f t="shared" si="1"/>
        <v>0</v>
      </c>
      <c r="H46" s="11">
        <f t="shared" si="2"/>
        <v>29.352689410000004</v>
      </c>
      <c r="I46" s="11">
        <f t="shared" si="3"/>
        <v>0</v>
      </c>
      <c r="J46" s="11">
        <f t="shared" si="4"/>
        <v>25.637988200000002</v>
      </c>
      <c r="K46" s="11">
        <f t="shared" si="5"/>
        <v>0</v>
      </c>
      <c r="L46" s="11">
        <f t="shared" si="6"/>
        <v>21.333800400000001</v>
      </c>
      <c r="M46" s="11">
        <f t="shared" si="7"/>
        <v>0</v>
      </c>
      <c r="N46" s="11">
        <f t="shared" si="8"/>
        <v>19.088137200000002</v>
      </c>
      <c r="O46" s="11">
        <f t="shared" si="9"/>
        <v>0</v>
      </c>
      <c r="P46" s="11">
        <f t="shared" si="10"/>
        <v>17.3103205</v>
      </c>
      <c r="Q46" s="11">
        <f t="shared" si="11"/>
        <v>0</v>
      </c>
      <c r="R46" s="531"/>
      <c r="S46" s="415"/>
    </row>
    <row r="47" spans="1:19" s="180" customFormat="1" ht="13.5" thickBot="1">
      <c r="A47" s="1320"/>
      <c r="B47" s="416"/>
      <c r="C47" s="419" t="s">
        <v>1085</v>
      </c>
      <c r="D47" s="420" t="s">
        <v>1086</v>
      </c>
      <c r="E47" s="889">
        <v>1545.83</v>
      </c>
      <c r="F47" s="8">
        <f t="shared" si="0"/>
        <v>850.20650000000001</v>
      </c>
      <c r="G47" s="10">
        <f t="shared" si="1"/>
        <v>0</v>
      </c>
      <c r="H47" s="11">
        <f t="shared" si="2"/>
        <v>26.670977905000001</v>
      </c>
      <c r="I47" s="11">
        <f t="shared" si="3"/>
        <v>0</v>
      </c>
      <c r="J47" s="11">
        <f t="shared" si="4"/>
        <v>23.295658100000001</v>
      </c>
      <c r="K47" s="11">
        <f t="shared" si="5"/>
        <v>0</v>
      </c>
      <c r="L47" s="11">
        <f t="shared" si="6"/>
        <v>19.384708200000002</v>
      </c>
      <c r="M47" s="11">
        <f t="shared" si="7"/>
        <v>0</v>
      </c>
      <c r="N47" s="11">
        <f t="shared" si="8"/>
        <v>17.344212600000002</v>
      </c>
      <c r="O47" s="11">
        <f t="shared" si="9"/>
        <v>0</v>
      </c>
      <c r="P47" s="11">
        <f t="shared" si="10"/>
        <v>15.72882025</v>
      </c>
      <c r="Q47" s="11">
        <f t="shared" si="11"/>
        <v>0</v>
      </c>
      <c r="R47" s="531"/>
      <c r="S47" s="415"/>
    </row>
    <row r="48" spans="1:19" s="180" customFormat="1" ht="13.5" thickBot="1">
      <c r="A48" s="1320"/>
      <c r="B48" s="416"/>
      <c r="C48" s="419" t="s">
        <v>1073</v>
      </c>
      <c r="D48" s="420" t="s">
        <v>1074</v>
      </c>
      <c r="E48" s="889">
        <v>1701.26</v>
      </c>
      <c r="F48" s="8">
        <f t="shared" si="0"/>
        <v>935.6930000000001</v>
      </c>
      <c r="G48" s="10">
        <f t="shared" si="1"/>
        <v>0</v>
      </c>
      <c r="H48" s="11">
        <f t="shared" si="2"/>
        <v>29.352689410000004</v>
      </c>
      <c r="I48" s="11">
        <f t="shared" si="3"/>
        <v>0</v>
      </c>
      <c r="J48" s="11">
        <f t="shared" si="4"/>
        <v>25.637988200000002</v>
      </c>
      <c r="K48" s="11">
        <f t="shared" si="5"/>
        <v>0</v>
      </c>
      <c r="L48" s="11">
        <f t="shared" si="6"/>
        <v>21.333800400000001</v>
      </c>
      <c r="M48" s="11">
        <f t="shared" si="7"/>
        <v>0</v>
      </c>
      <c r="N48" s="11">
        <f t="shared" si="8"/>
        <v>19.088137200000002</v>
      </c>
      <c r="O48" s="11">
        <f t="shared" si="9"/>
        <v>0</v>
      </c>
      <c r="P48" s="11">
        <f t="shared" si="10"/>
        <v>17.3103205</v>
      </c>
      <c r="Q48" s="11">
        <f t="shared" si="11"/>
        <v>0</v>
      </c>
      <c r="R48" s="531"/>
      <c r="S48" s="415"/>
    </row>
    <row r="49" spans="1:19" s="180" customFormat="1" ht="13.5" thickBot="1">
      <c r="A49" s="1320"/>
      <c r="B49" s="416"/>
      <c r="C49" s="419" t="s">
        <v>1087</v>
      </c>
      <c r="D49" s="420" t="s">
        <v>1088</v>
      </c>
      <c r="E49" s="889">
        <v>1545.83</v>
      </c>
      <c r="F49" s="8">
        <f t="shared" si="0"/>
        <v>850.20650000000001</v>
      </c>
      <c r="G49" s="10">
        <f t="shared" si="1"/>
        <v>0</v>
      </c>
      <c r="H49" s="11">
        <f t="shared" si="2"/>
        <v>26.670977905000001</v>
      </c>
      <c r="I49" s="11">
        <f t="shared" si="3"/>
        <v>0</v>
      </c>
      <c r="J49" s="11">
        <f t="shared" si="4"/>
        <v>23.295658100000001</v>
      </c>
      <c r="K49" s="11">
        <f t="shared" si="5"/>
        <v>0</v>
      </c>
      <c r="L49" s="11">
        <f t="shared" si="6"/>
        <v>19.384708200000002</v>
      </c>
      <c r="M49" s="11">
        <f t="shared" si="7"/>
        <v>0</v>
      </c>
      <c r="N49" s="11">
        <f t="shared" si="8"/>
        <v>17.344212600000002</v>
      </c>
      <c r="O49" s="11">
        <f t="shared" si="9"/>
        <v>0</v>
      </c>
      <c r="P49" s="11">
        <f t="shared" si="10"/>
        <v>15.72882025</v>
      </c>
      <c r="Q49" s="11">
        <f t="shared" si="11"/>
        <v>0</v>
      </c>
      <c r="R49" s="531"/>
      <c r="S49" s="415"/>
    </row>
    <row r="50" spans="1:19" s="180" customFormat="1" ht="13.5" thickBot="1">
      <c r="A50" s="1320"/>
      <c r="B50" s="416"/>
      <c r="C50" s="419" t="s">
        <v>1079</v>
      </c>
      <c r="D50" s="420" t="s">
        <v>1080</v>
      </c>
      <c r="E50" s="889">
        <v>1545.83</v>
      </c>
      <c r="F50" s="8">
        <f t="shared" si="0"/>
        <v>850.20650000000001</v>
      </c>
      <c r="G50" s="10">
        <f t="shared" si="1"/>
        <v>0</v>
      </c>
      <c r="H50" s="11">
        <f t="shared" si="2"/>
        <v>26.670977905000001</v>
      </c>
      <c r="I50" s="11">
        <f t="shared" si="3"/>
        <v>0</v>
      </c>
      <c r="J50" s="11">
        <f t="shared" si="4"/>
        <v>23.295658100000001</v>
      </c>
      <c r="K50" s="11">
        <f t="shared" si="5"/>
        <v>0</v>
      </c>
      <c r="L50" s="11">
        <f t="shared" si="6"/>
        <v>19.384708200000002</v>
      </c>
      <c r="M50" s="11">
        <f t="shared" si="7"/>
        <v>0</v>
      </c>
      <c r="N50" s="11">
        <f t="shared" si="8"/>
        <v>17.344212600000002</v>
      </c>
      <c r="O50" s="11">
        <f t="shared" si="9"/>
        <v>0</v>
      </c>
      <c r="P50" s="11">
        <f t="shared" si="10"/>
        <v>15.72882025</v>
      </c>
      <c r="Q50" s="11">
        <f t="shared" si="11"/>
        <v>0</v>
      </c>
      <c r="R50" s="531"/>
      <c r="S50" s="415"/>
    </row>
    <row r="51" spans="1:19" s="180" customFormat="1" ht="13.5" thickBot="1">
      <c r="A51" s="1320"/>
      <c r="B51" s="416"/>
      <c r="C51" s="419" t="s">
        <v>1075</v>
      </c>
      <c r="D51" s="420" t="s">
        <v>1076</v>
      </c>
      <c r="E51" s="889">
        <v>1545.83</v>
      </c>
      <c r="F51" s="8">
        <f t="shared" si="0"/>
        <v>850.20650000000001</v>
      </c>
      <c r="G51" s="10">
        <f t="shared" si="1"/>
        <v>0</v>
      </c>
      <c r="H51" s="11">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15.72882025</v>
      </c>
      <c r="Q51" s="11">
        <f t="shared" si="11"/>
        <v>0</v>
      </c>
      <c r="R51" s="531"/>
      <c r="S51" s="415"/>
    </row>
    <row r="52" spans="1:19" s="180" customFormat="1" ht="13.5" thickBot="1">
      <c r="A52" s="1320"/>
      <c r="B52" s="416"/>
      <c r="C52" s="419" t="s">
        <v>1097</v>
      </c>
      <c r="D52" s="420" t="s">
        <v>1098</v>
      </c>
      <c r="E52" s="889">
        <v>2679.44</v>
      </c>
      <c r="F52" s="8">
        <f t="shared" si="0"/>
        <v>1473.6920000000002</v>
      </c>
      <c r="G52" s="10">
        <f t="shared" si="1"/>
        <v>0</v>
      </c>
      <c r="H52" s="11">
        <f t="shared" si="2"/>
        <v>46.229718040000009</v>
      </c>
      <c r="I52" s="11">
        <f t="shared" si="3"/>
        <v>0</v>
      </c>
      <c r="J52" s="11">
        <f t="shared" si="4"/>
        <v>40.379160800000008</v>
      </c>
      <c r="K52" s="11">
        <f t="shared" si="5"/>
        <v>0</v>
      </c>
      <c r="L52" s="11">
        <f t="shared" si="6"/>
        <v>33.600177600000009</v>
      </c>
      <c r="M52" s="11">
        <f t="shared" si="7"/>
        <v>0</v>
      </c>
      <c r="N52" s="11">
        <f t="shared" si="8"/>
        <v>30.063316800000006</v>
      </c>
      <c r="O52" s="11">
        <f t="shared" si="9"/>
        <v>0</v>
      </c>
      <c r="P52" s="11">
        <f t="shared" si="10"/>
        <v>27.263302000000003</v>
      </c>
      <c r="Q52" s="11">
        <f t="shared" si="11"/>
        <v>0</v>
      </c>
      <c r="R52" s="531"/>
      <c r="S52" s="415"/>
    </row>
    <row r="53" spans="1:19" s="180" customFormat="1" ht="13.5" thickBot="1">
      <c r="A53" s="1320"/>
      <c r="B53" s="416"/>
      <c r="C53" s="419" t="s">
        <v>1077</v>
      </c>
      <c r="D53" s="420" t="s">
        <v>1078</v>
      </c>
      <c r="E53" s="889">
        <v>1545.83</v>
      </c>
      <c r="F53" s="8">
        <f t="shared" si="0"/>
        <v>850.20650000000001</v>
      </c>
      <c r="G53" s="10">
        <f t="shared" si="1"/>
        <v>0</v>
      </c>
      <c r="H53" s="11">
        <f t="shared" si="2"/>
        <v>26.670977905000001</v>
      </c>
      <c r="I53" s="11">
        <f t="shared" si="3"/>
        <v>0</v>
      </c>
      <c r="J53" s="11">
        <f t="shared" si="4"/>
        <v>23.295658100000001</v>
      </c>
      <c r="K53" s="11">
        <f t="shared" si="5"/>
        <v>0</v>
      </c>
      <c r="L53" s="11">
        <f t="shared" si="6"/>
        <v>19.384708200000002</v>
      </c>
      <c r="M53" s="11">
        <f t="shared" si="7"/>
        <v>0</v>
      </c>
      <c r="N53" s="11">
        <f t="shared" si="8"/>
        <v>17.344212600000002</v>
      </c>
      <c r="O53" s="11">
        <f t="shared" si="9"/>
        <v>0</v>
      </c>
      <c r="P53" s="11">
        <f t="shared" si="10"/>
        <v>15.72882025</v>
      </c>
      <c r="Q53" s="11">
        <f t="shared" si="11"/>
        <v>0</v>
      </c>
      <c r="R53" s="531"/>
      <c r="S53" s="415"/>
    </row>
    <row r="54" spans="1:19" s="180" customFormat="1" ht="13.5" thickBot="1">
      <c r="A54" s="1320"/>
      <c r="B54" s="416"/>
      <c r="C54" s="417" t="s">
        <v>1099</v>
      </c>
      <c r="D54" s="418" t="s">
        <v>1100</v>
      </c>
      <c r="E54" s="889">
        <v>5152.8100000000004</v>
      </c>
      <c r="F54" s="8">
        <f t="shared" si="0"/>
        <v>2834.0455000000006</v>
      </c>
      <c r="G54" s="10">
        <f t="shared" si="1"/>
        <v>0</v>
      </c>
      <c r="H54" s="11">
        <f t="shared" si="2"/>
        <v>88.904007335000031</v>
      </c>
      <c r="I54" s="11">
        <f t="shared" si="3"/>
        <v>0</v>
      </c>
      <c r="J54" s="11">
        <f t="shared" si="4"/>
        <v>77.652846700000026</v>
      </c>
      <c r="K54" s="11">
        <f t="shared" si="5"/>
        <v>0</v>
      </c>
      <c r="L54" s="11">
        <f t="shared" si="6"/>
        <v>64.616237400000017</v>
      </c>
      <c r="M54" s="11">
        <f t="shared" si="7"/>
        <v>0</v>
      </c>
      <c r="N54" s="11">
        <f t="shared" si="8"/>
        <v>57.814528200000019</v>
      </c>
      <c r="O54" s="11">
        <f t="shared" si="9"/>
        <v>0</v>
      </c>
      <c r="P54" s="11">
        <f t="shared" si="10"/>
        <v>52.429841750000008</v>
      </c>
      <c r="Q54" s="11">
        <f t="shared" si="11"/>
        <v>0</v>
      </c>
      <c r="R54" s="531"/>
      <c r="S54" s="415"/>
    </row>
    <row r="55" spans="1:19" s="180" customFormat="1" ht="13.5" thickBot="1">
      <c r="A55" s="1320"/>
      <c r="B55" s="416"/>
      <c r="C55" s="417" t="s">
        <v>1091</v>
      </c>
      <c r="D55" s="418" t="s">
        <v>1092</v>
      </c>
      <c r="E55" s="889">
        <v>1648.89</v>
      </c>
      <c r="F55" s="8">
        <f t="shared" si="0"/>
        <v>906.88950000000011</v>
      </c>
      <c r="G55" s="10">
        <f t="shared" si="1"/>
        <v>0</v>
      </c>
      <c r="H55" s="11">
        <f t="shared" si="2"/>
        <v>28.449123615000005</v>
      </c>
      <c r="I55" s="11">
        <f t="shared" si="3"/>
        <v>0</v>
      </c>
      <c r="J55" s="11">
        <f t="shared" si="4"/>
        <v>24.848772300000004</v>
      </c>
      <c r="K55" s="11">
        <f t="shared" si="5"/>
        <v>0</v>
      </c>
      <c r="L55" s="11">
        <f t="shared" si="6"/>
        <v>20.677080600000004</v>
      </c>
      <c r="M55" s="11">
        <f t="shared" si="7"/>
        <v>0</v>
      </c>
      <c r="N55" s="11">
        <f t="shared" si="8"/>
        <v>18.500545800000005</v>
      </c>
      <c r="O55" s="11">
        <f t="shared" si="9"/>
        <v>0</v>
      </c>
      <c r="P55" s="11">
        <f t="shared" si="10"/>
        <v>16.777455750000001</v>
      </c>
      <c r="Q55" s="11">
        <f t="shared" si="11"/>
        <v>0</v>
      </c>
      <c r="R55" s="531"/>
      <c r="S55" s="415"/>
    </row>
    <row r="56" spans="1:19" s="180" customFormat="1" ht="13.5" thickBot="1">
      <c r="A56" s="1320"/>
      <c r="B56" s="416"/>
      <c r="C56" s="419" t="s">
        <v>1093</v>
      </c>
      <c r="D56" s="420" t="s">
        <v>1094</v>
      </c>
      <c r="E56" s="889">
        <v>1648.89</v>
      </c>
      <c r="F56" s="8">
        <f t="shared" si="0"/>
        <v>906.88950000000011</v>
      </c>
      <c r="G56" s="10">
        <f t="shared" si="1"/>
        <v>0</v>
      </c>
      <c r="H56" s="11">
        <f t="shared" si="2"/>
        <v>28.449123615000005</v>
      </c>
      <c r="I56" s="11">
        <f t="shared" si="3"/>
        <v>0</v>
      </c>
      <c r="J56" s="11">
        <f t="shared" si="4"/>
        <v>24.848772300000004</v>
      </c>
      <c r="K56" s="11">
        <f t="shared" si="5"/>
        <v>0</v>
      </c>
      <c r="L56" s="11">
        <f t="shared" si="6"/>
        <v>20.677080600000004</v>
      </c>
      <c r="M56" s="11">
        <f t="shared" si="7"/>
        <v>0</v>
      </c>
      <c r="N56" s="11">
        <f t="shared" si="8"/>
        <v>18.500545800000005</v>
      </c>
      <c r="O56" s="11">
        <f t="shared" si="9"/>
        <v>0</v>
      </c>
      <c r="P56" s="11">
        <f t="shared" si="10"/>
        <v>16.777455750000001</v>
      </c>
      <c r="Q56" s="11">
        <f t="shared" si="11"/>
        <v>0</v>
      </c>
      <c r="R56" s="531"/>
      <c r="S56" s="415"/>
    </row>
    <row r="57" spans="1:19" s="180" customFormat="1" ht="13.5" thickBot="1">
      <c r="A57" s="1320"/>
      <c r="B57" s="416"/>
      <c r="C57" s="419" t="s">
        <v>1161</v>
      </c>
      <c r="D57" s="420" t="s">
        <v>1162</v>
      </c>
      <c r="E57" s="889">
        <v>4159.99</v>
      </c>
      <c r="F57" s="8">
        <f t="shared" si="0"/>
        <v>2287.9945000000002</v>
      </c>
      <c r="G57" s="10">
        <f t="shared" si="1"/>
        <v>0</v>
      </c>
      <c r="H57" s="11">
        <f t="shared" si="2"/>
        <v>71.774387465000018</v>
      </c>
      <c r="I57" s="11">
        <f t="shared" si="3"/>
        <v>0</v>
      </c>
      <c r="J57" s="11">
        <f t="shared" si="4"/>
        <v>62.69104930000001</v>
      </c>
      <c r="K57" s="11">
        <f t="shared" si="5"/>
        <v>0</v>
      </c>
      <c r="L57" s="11">
        <f t="shared" si="6"/>
        <v>52.166274600000008</v>
      </c>
      <c r="M57" s="11">
        <f t="shared" si="7"/>
        <v>0</v>
      </c>
      <c r="N57" s="11">
        <f t="shared" si="8"/>
        <v>46.675087800000007</v>
      </c>
      <c r="O57" s="11">
        <f t="shared" si="9"/>
        <v>0</v>
      </c>
      <c r="P57" s="11">
        <f t="shared" si="10"/>
        <v>42.327898250000004</v>
      </c>
      <c r="Q57" s="11">
        <f t="shared" si="11"/>
        <v>0</v>
      </c>
      <c r="R57" s="531"/>
      <c r="S57" s="415"/>
    </row>
    <row r="58" spans="1:19" s="180" customFormat="1" ht="13.5" thickBot="1">
      <c r="A58" s="1320"/>
      <c r="B58" s="416"/>
      <c r="C58" s="417" t="s">
        <v>1165</v>
      </c>
      <c r="D58" s="418" t="s">
        <v>1166</v>
      </c>
      <c r="E58" s="889">
        <v>3690.62</v>
      </c>
      <c r="F58" s="8">
        <f t="shared" si="0"/>
        <v>2029.8410000000001</v>
      </c>
      <c r="G58" s="10">
        <f t="shared" si="1"/>
        <v>0</v>
      </c>
      <c r="H58" s="11">
        <f t="shared" si="2"/>
        <v>63.67611217000001</v>
      </c>
      <c r="I58" s="11">
        <f t="shared" si="3"/>
        <v>0</v>
      </c>
      <c r="J58" s="11">
        <f t="shared" si="4"/>
        <v>55.617643400000006</v>
      </c>
      <c r="K58" s="11">
        <f t="shared" si="5"/>
        <v>0</v>
      </c>
      <c r="L58" s="11">
        <f t="shared" si="6"/>
        <v>46.280374800000004</v>
      </c>
      <c r="M58" s="11">
        <f t="shared" si="7"/>
        <v>0</v>
      </c>
      <c r="N58" s="11">
        <f t="shared" si="8"/>
        <v>41.408756400000009</v>
      </c>
      <c r="O58" s="11">
        <f t="shared" si="9"/>
        <v>0</v>
      </c>
      <c r="P58" s="11">
        <f t="shared" si="10"/>
        <v>37.552058500000001</v>
      </c>
      <c r="Q58" s="11">
        <f t="shared" si="11"/>
        <v>0</v>
      </c>
      <c r="R58" s="531"/>
      <c r="S58" s="415"/>
    </row>
    <row r="59" spans="1:19" s="180" customFormat="1" ht="13.5" thickBot="1">
      <c r="A59" s="1320"/>
      <c r="B59" s="416"/>
      <c r="C59" s="419" t="s">
        <v>1163</v>
      </c>
      <c r="D59" s="420" t="s">
        <v>1164</v>
      </c>
      <c r="E59" s="889">
        <v>3690.62</v>
      </c>
      <c r="F59" s="8">
        <f t="shared" si="0"/>
        <v>2029.8410000000001</v>
      </c>
      <c r="G59" s="10">
        <f t="shared" si="1"/>
        <v>0</v>
      </c>
      <c r="H59" s="11">
        <f t="shared" si="2"/>
        <v>63.67611217000001</v>
      </c>
      <c r="I59" s="11">
        <f t="shared" si="3"/>
        <v>0</v>
      </c>
      <c r="J59" s="11">
        <f t="shared" si="4"/>
        <v>55.617643400000006</v>
      </c>
      <c r="K59" s="11">
        <f t="shared" si="5"/>
        <v>0</v>
      </c>
      <c r="L59" s="11">
        <f t="shared" si="6"/>
        <v>46.280374800000004</v>
      </c>
      <c r="M59" s="11">
        <f t="shared" si="7"/>
        <v>0</v>
      </c>
      <c r="N59" s="11">
        <f t="shared" si="8"/>
        <v>41.408756400000009</v>
      </c>
      <c r="O59" s="11">
        <f t="shared" si="9"/>
        <v>0</v>
      </c>
      <c r="P59" s="11">
        <f t="shared" si="10"/>
        <v>37.552058500000001</v>
      </c>
      <c r="Q59" s="11">
        <f t="shared" si="11"/>
        <v>0</v>
      </c>
      <c r="R59" s="531"/>
      <c r="S59" s="415"/>
    </row>
    <row r="60" spans="1:19" s="180" customFormat="1" ht="13.5" thickBot="1">
      <c r="A60" s="1320"/>
      <c r="B60" s="416"/>
      <c r="C60" s="419" t="s">
        <v>1081</v>
      </c>
      <c r="D60" s="420" t="s">
        <v>1082</v>
      </c>
      <c r="E60" s="889">
        <v>1628.26</v>
      </c>
      <c r="F60" s="8">
        <f t="shared" si="0"/>
        <v>895.54300000000012</v>
      </c>
      <c r="G60" s="10">
        <f t="shared" si="1"/>
        <v>0</v>
      </c>
      <c r="H60" s="11">
        <f t="shared" si="2"/>
        <v>28.093183910000004</v>
      </c>
      <c r="I60" s="11">
        <f t="shared" si="3"/>
        <v>0</v>
      </c>
      <c r="J60" s="11">
        <f t="shared" si="4"/>
        <v>24.537878200000005</v>
      </c>
      <c r="K60" s="11">
        <f t="shared" si="5"/>
        <v>0</v>
      </c>
      <c r="L60" s="11">
        <f t="shared" si="6"/>
        <v>20.418380400000004</v>
      </c>
      <c r="M60" s="11">
        <f t="shared" si="7"/>
        <v>0</v>
      </c>
      <c r="N60" s="11">
        <f t="shared" si="8"/>
        <v>18.269077200000005</v>
      </c>
      <c r="O60" s="11">
        <f t="shared" si="9"/>
        <v>0</v>
      </c>
      <c r="P60" s="11">
        <f t="shared" si="10"/>
        <v>16.567545500000001</v>
      </c>
      <c r="Q60" s="11">
        <f t="shared" si="11"/>
        <v>0</v>
      </c>
      <c r="R60" s="531"/>
      <c r="S60" s="415"/>
    </row>
    <row r="61" spans="1:19" s="180" customFormat="1" ht="13.5" thickBot="1">
      <c r="A61" s="1320"/>
      <c r="B61" s="416"/>
      <c r="C61" s="419" t="s">
        <v>1297</v>
      </c>
      <c r="D61" s="420" t="s">
        <v>1298</v>
      </c>
      <c r="E61" s="889">
        <v>6606.6</v>
      </c>
      <c r="F61" s="8">
        <f t="shared" si="0"/>
        <v>3633.6300000000006</v>
      </c>
      <c r="G61" s="10">
        <f t="shared" si="1"/>
        <v>0</v>
      </c>
      <c r="H61" s="11">
        <f t="shared" si="2"/>
        <v>113.98697310000003</v>
      </c>
      <c r="I61" s="11">
        <f t="shared" si="3"/>
        <v>0</v>
      </c>
      <c r="J61" s="11">
        <f t="shared" si="4"/>
        <v>99.56146200000002</v>
      </c>
      <c r="K61" s="11">
        <f t="shared" si="5"/>
        <v>0</v>
      </c>
      <c r="L61" s="11">
        <f t="shared" si="6"/>
        <v>82.846764000000022</v>
      </c>
      <c r="M61" s="11">
        <f t="shared" si="7"/>
        <v>0</v>
      </c>
      <c r="N61" s="11">
        <f t="shared" si="8"/>
        <v>74.126052000000016</v>
      </c>
      <c r="O61" s="11">
        <f t="shared" si="9"/>
        <v>0</v>
      </c>
      <c r="P61" s="11">
        <f t="shared" si="10"/>
        <v>67.222155000000001</v>
      </c>
      <c r="Q61" s="11">
        <f t="shared" si="11"/>
        <v>0</v>
      </c>
      <c r="R61" s="531"/>
      <c r="S61" s="415"/>
    </row>
    <row r="62" spans="1:19" s="180" customFormat="1" ht="13.5" thickBot="1">
      <c r="A62" s="1320"/>
      <c r="B62" s="416"/>
      <c r="C62" s="419">
        <v>45204557</v>
      </c>
      <c r="D62" s="420" t="s">
        <v>4005</v>
      </c>
      <c r="E62" s="889">
        <v>12589.5</v>
      </c>
      <c r="F62" s="8">
        <f t="shared" si="0"/>
        <v>6924.2250000000004</v>
      </c>
      <c r="G62" s="10">
        <f t="shared" si="1"/>
        <v>0</v>
      </c>
      <c r="H62" s="11">
        <f t="shared" si="2"/>
        <v>217.21293825000004</v>
      </c>
      <c r="I62" s="11">
        <f t="shared" si="3"/>
        <v>0</v>
      </c>
      <c r="J62" s="11">
        <f t="shared" si="4"/>
        <v>189.72376500000001</v>
      </c>
      <c r="K62" s="11">
        <f t="shared" si="5"/>
        <v>0</v>
      </c>
      <c r="L62" s="11">
        <f t="shared" si="6"/>
        <v>157.87233000000001</v>
      </c>
      <c r="M62" s="11">
        <f t="shared" si="7"/>
        <v>0</v>
      </c>
      <c r="N62" s="11">
        <f t="shared" si="8"/>
        <v>141.25419000000002</v>
      </c>
      <c r="O62" s="11">
        <f t="shared" si="9"/>
        <v>0</v>
      </c>
      <c r="P62" s="11">
        <f t="shared" si="10"/>
        <v>128.0981625</v>
      </c>
      <c r="Q62" s="11">
        <f t="shared" si="11"/>
        <v>0</v>
      </c>
      <c r="R62" s="531"/>
      <c r="S62" s="415"/>
    </row>
    <row r="63" spans="1:19" s="180" customFormat="1" ht="13.5" thickBot="1">
      <c r="A63" s="1320"/>
      <c r="B63" s="416"/>
      <c r="C63" s="419">
        <v>45204332</v>
      </c>
      <c r="D63" s="420" t="s">
        <v>4006</v>
      </c>
      <c r="E63" s="889">
        <v>14175</v>
      </c>
      <c r="F63" s="8">
        <f t="shared" si="0"/>
        <v>7796.2500000000009</v>
      </c>
      <c r="G63" s="10">
        <f t="shared" si="1"/>
        <v>0</v>
      </c>
      <c r="H63" s="11">
        <f t="shared" si="2"/>
        <v>244.56836250000003</v>
      </c>
      <c r="I63" s="11">
        <f t="shared" si="3"/>
        <v>0</v>
      </c>
      <c r="J63" s="11">
        <f t="shared" si="4"/>
        <v>213.61725000000004</v>
      </c>
      <c r="K63" s="11">
        <f t="shared" si="5"/>
        <v>0</v>
      </c>
      <c r="L63" s="11">
        <f t="shared" si="6"/>
        <v>177.75450000000004</v>
      </c>
      <c r="M63" s="11">
        <f t="shared" si="7"/>
        <v>0</v>
      </c>
      <c r="N63" s="11">
        <f t="shared" si="8"/>
        <v>159.04350000000002</v>
      </c>
      <c r="O63" s="11">
        <f t="shared" si="9"/>
        <v>0</v>
      </c>
      <c r="P63" s="11">
        <f t="shared" si="10"/>
        <v>144.230625</v>
      </c>
      <c r="Q63" s="11">
        <f t="shared" si="11"/>
        <v>0</v>
      </c>
      <c r="R63" s="531"/>
      <c r="S63" s="415"/>
    </row>
    <row r="64" spans="1:19" s="180" customFormat="1" ht="13.5" thickBot="1">
      <c r="A64" s="1320"/>
      <c r="B64" s="416"/>
      <c r="C64" s="419" t="s">
        <v>1121</v>
      </c>
      <c r="D64" s="420" t="s">
        <v>1122</v>
      </c>
      <c r="E64" s="889">
        <v>154.84</v>
      </c>
      <c r="F64" s="8">
        <f t="shared" si="0"/>
        <v>85.162000000000006</v>
      </c>
      <c r="G64" s="10">
        <f t="shared" si="1"/>
        <v>0</v>
      </c>
      <c r="H64" s="11">
        <f t="shared" si="2"/>
        <v>2.6715319400000004</v>
      </c>
      <c r="I64" s="11">
        <f t="shared" si="3"/>
        <v>0</v>
      </c>
      <c r="J64" s="11">
        <f t="shared" si="4"/>
        <v>2.3334388000000001</v>
      </c>
      <c r="K64" s="11">
        <f t="shared" si="5"/>
        <v>0</v>
      </c>
      <c r="L64" s="11">
        <f t="shared" si="6"/>
        <v>1.9416936000000002</v>
      </c>
      <c r="M64" s="11">
        <f t="shared" si="7"/>
        <v>0</v>
      </c>
      <c r="N64" s="11">
        <f t="shared" si="8"/>
        <v>1.7373048000000002</v>
      </c>
      <c r="O64" s="11">
        <f t="shared" si="9"/>
        <v>0</v>
      </c>
      <c r="P64" s="11">
        <f t="shared" si="10"/>
        <v>1.5754969999999999</v>
      </c>
      <c r="Q64" s="11">
        <f t="shared" si="11"/>
        <v>0</v>
      </c>
      <c r="R64" s="531"/>
      <c r="S64" s="415"/>
    </row>
    <row r="65" spans="1:19" s="180" customFormat="1" ht="13.5" thickBot="1">
      <c r="A65" s="1320"/>
      <c r="B65" s="416"/>
      <c r="C65" s="419" t="s">
        <v>1111</v>
      </c>
      <c r="D65" s="420" t="s">
        <v>1112</v>
      </c>
      <c r="E65" s="889">
        <v>142.6</v>
      </c>
      <c r="F65" s="8">
        <f t="shared" si="0"/>
        <v>78.430000000000007</v>
      </c>
      <c r="G65" s="10">
        <f t="shared" si="1"/>
        <v>0</v>
      </c>
      <c r="H65" s="11">
        <f t="shared" si="2"/>
        <v>2.4603491000000002</v>
      </c>
      <c r="I65" s="11">
        <f t="shared" si="3"/>
        <v>0</v>
      </c>
      <c r="J65" s="11">
        <f t="shared" si="4"/>
        <v>2.1489820000000002</v>
      </c>
      <c r="K65" s="11">
        <f t="shared" si="5"/>
        <v>0</v>
      </c>
      <c r="L65" s="11">
        <f t="shared" si="6"/>
        <v>1.7882040000000001</v>
      </c>
      <c r="M65" s="11">
        <f t="shared" si="7"/>
        <v>0</v>
      </c>
      <c r="N65" s="11">
        <f t="shared" si="8"/>
        <v>1.5999720000000002</v>
      </c>
      <c r="O65" s="11">
        <f t="shared" si="9"/>
        <v>0</v>
      </c>
      <c r="P65" s="11">
        <f t="shared" si="10"/>
        <v>1.450955</v>
      </c>
      <c r="Q65" s="11">
        <f t="shared" si="11"/>
        <v>0</v>
      </c>
      <c r="R65" s="531"/>
      <c r="S65" s="415"/>
    </row>
    <row r="66" spans="1:19" s="180" customFormat="1" ht="13.5" thickBot="1">
      <c r="A66" s="1320"/>
      <c r="B66" s="416"/>
      <c r="C66" s="419" t="s">
        <v>1101</v>
      </c>
      <c r="D66" s="420" t="s">
        <v>1102</v>
      </c>
      <c r="E66" s="889">
        <v>141.21</v>
      </c>
      <c r="F66" s="8">
        <f t="shared" si="0"/>
        <v>77.665500000000009</v>
      </c>
      <c r="G66" s="10">
        <f t="shared" si="1"/>
        <v>0</v>
      </c>
      <c r="H66" s="11">
        <f t="shared" si="2"/>
        <v>2.4363667350000004</v>
      </c>
      <c r="I66" s="11">
        <f t="shared" si="3"/>
        <v>0</v>
      </c>
      <c r="J66" s="11">
        <f t="shared" si="4"/>
        <v>2.1280347000000002</v>
      </c>
      <c r="K66" s="11">
        <f t="shared" si="5"/>
        <v>0</v>
      </c>
      <c r="L66" s="11">
        <f t="shared" si="6"/>
        <v>1.7707734000000002</v>
      </c>
      <c r="M66" s="11">
        <f t="shared" si="7"/>
        <v>0</v>
      </c>
      <c r="N66" s="11">
        <f t="shared" si="8"/>
        <v>1.5843762000000003</v>
      </c>
      <c r="O66" s="11">
        <f t="shared" si="9"/>
        <v>0</v>
      </c>
      <c r="P66" s="11">
        <f t="shared" si="10"/>
        <v>1.4368117500000002</v>
      </c>
      <c r="Q66" s="11">
        <f t="shared" si="11"/>
        <v>0</v>
      </c>
      <c r="R66" s="531"/>
      <c r="S66" s="415"/>
    </row>
    <row r="67" spans="1:19" s="180" customFormat="1" ht="13.5" thickBot="1">
      <c r="A67" s="1320"/>
      <c r="B67" s="416"/>
      <c r="C67" s="419" t="s">
        <v>1103</v>
      </c>
      <c r="D67" s="420" t="s">
        <v>1104</v>
      </c>
      <c r="E67" s="889">
        <v>122.89</v>
      </c>
      <c r="F67" s="8">
        <f t="shared" si="0"/>
        <v>67.589500000000001</v>
      </c>
      <c r="G67" s="10">
        <f t="shared" si="1"/>
        <v>0</v>
      </c>
      <c r="H67" s="11">
        <f t="shared" si="2"/>
        <v>2.1202826150000003</v>
      </c>
      <c r="I67" s="11">
        <f t="shared" si="3"/>
        <v>0</v>
      </c>
      <c r="J67" s="11">
        <f t="shared" si="4"/>
        <v>1.8519523</v>
      </c>
      <c r="K67" s="11">
        <f t="shared" si="5"/>
        <v>0</v>
      </c>
      <c r="L67" s="11">
        <f t="shared" si="6"/>
        <v>1.5410406000000001</v>
      </c>
      <c r="M67" s="11">
        <f t="shared" si="7"/>
        <v>0</v>
      </c>
      <c r="N67" s="11">
        <f t="shared" si="8"/>
        <v>1.3788258000000002</v>
      </c>
      <c r="O67" s="11">
        <f t="shared" si="9"/>
        <v>0</v>
      </c>
      <c r="P67" s="11">
        <f t="shared" si="10"/>
        <v>1.2504057499999999</v>
      </c>
      <c r="Q67" s="11">
        <f t="shared" si="11"/>
        <v>0</v>
      </c>
      <c r="R67" s="531"/>
      <c r="S67" s="415"/>
    </row>
    <row r="68" spans="1:19" s="180" customFormat="1" ht="13.5" thickBot="1">
      <c r="A68" s="1320"/>
      <c r="B68" s="416"/>
      <c r="C68" s="417" t="s">
        <v>1113</v>
      </c>
      <c r="D68" s="418" t="s">
        <v>1114</v>
      </c>
      <c r="E68" s="889">
        <v>124.08</v>
      </c>
      <c r="F68" s="8">
        <f t="shared" si="0"/>
        <v>68.244</v>
      </c>
      <c r="G68" s="10">
        <f t="shared" si="1"/>
        <v>0</v>
      </c>
      <c r="H68" s="11">
        <f t="shared" si="2"/>
        <v>2.1408142800000003</v>
      </c>
      <c r="I68" s="11">
        <f t="shared" si="3"/>
        <v>0</v>
      </c>
      <c r="J68" s="11">
        <f t="shared" si="4"/>
        <v>1.8698856000000001</v>
      </c>
      <c r="K68" s="11">
        <f t="shared" si="5"/>
        <v>0</v>
      </c>
      <c r="L68" s="11">
        <f t="shared" si="6"/>
        <v>1.5559632000000001</v>
      </c>
      <c r="M68" s="11">
        <f t="shared" si="7"/>
        <v>0</v>
      </c>
      <c r="N68" s="11">
        <f t="shared" si="8"/>
        <v>1.3921776000000001</v>
      </c>
      <c r="O68" s="11">
        <f t="shared" si="9"/>
        <v>0</v>
      </c>
      <c r="P68" s="11">
        <f t="shared" si="10"/>
        <v>1.2625139999999999</v>
      </c>
      <c r="Q68" s="11">
        <f t="shared" si="11"/>
        <v>0</v>
      </c>
      <c r="R68" s="531"/>
      <c r="S68" s="415"/>
    </row>
    <row r="69" spans="1:19" s="180" customFormat="1" ht="13.5" thickBot="1">
      <c r="A69" s="1320"/>
      <c r="B69" s="416"/>
      <c r="C69" s="417" t="s">
        <v>1107</v>
      </c>
      <c r="D69" s="418" t="s">
        <v>1108</v>
      </c>
      <c r="E69" s="889">
        <v>111.45</v>
      </c>
      <c r="F69" s="8">
        <f t="shared" si="0"/>
        <v>61.297500000000007</v>
      </c>
      <c r="G69" s="10">
        <f t="shared" si="1"/>
        <v>0</v>
      </c>
      <c r="H69" s="11">
        <f t="shared" si="2"/>
        <v>1.9229025750000004</v>
      </c>
      <c r="I69" s="11">
        <f t="shared" si="3"/>
        <v>0</v>
      </c>
      <c r="J69" s="11">
        <f t="shared" si="4"/>
        <v>1.6795515000000003</v>
      </c>
      <c r="K69" s="11">
        <f t="shared" si="5"/>
        <v>0</v>
      </c>
      <c r="L69" s="11">
        <f t="shared" si="6"/>
        <v>1.3975830000000002</v>
      </c>
      <c r="M69" s="11">
        <f t="shared" si="7"/>
        <v>0</v>
      </c>
      <c r="N69" s="11">
        <f t="shared" si="8"/>
        <v>1.2504690000000003</v>
      </c>
      <c r="O69" s="11">
        <f t="shared" si="9"/>
        <v>0</v>
      </c>
      <c r="P69" s="11">
        <f t="shared" si="10"/>
        <v>1.13400375</v>
      </c>
      <c r="Q69" s="11">
        <f t="shared" si="11"/>
        <v>0</v>
      </c>
      <c r="R69" s="531"/>
      <c r="S69" s="415"/>
    </row>
    <row r="70" spans="1:19" s="180" customFormat="1" ht="13.5" thickBot="1">
      <c r="A70" s="1320"/>
      <c r="B70" s="416"/>
      <c r="C70" s="419" t="s">
        <v>1123</v>
      </c>
      <c r="D70" s="420" t="s">
        <v>1124</v>
      </c>
      <c r="E70" s="889">
        <v>134.54</v>
      </c>
      <c r="F70" s="8">
        <f t="shared" si="0"/>
        <v>73.997</v>
      </c>
      <c r="G70" s="10">
        <f t="shared" si="1"/>
        <v>0</v>
      </c>
      <c r="H70" s="11">
        <f t="shared" si="2"/>
        <v>2.32128589</v>
      </c>
      <c r="I70" s="11">
        <f t="shared" si="3"/>
        <v>0</v>
      </c>
      <c r="J70" s="11">
        <f t="shared" si="4"/>
        <v>2.0275178</v>
      </c>
      <c r="K70" s="11">
        <f t="shared" si="5"/>
        <v>0</v>
      </c>
      <c r="L70" s="11">
        <f t="shared" si="6"/>
        <v>1.6871316000000001</v>
      </c>
      <c r="M70" s="11">
        <f t="shared" si="7"/>
        <v>0</v>
      </c>
      <c r="N70" s="11">
        <f t="shared" si="8"/>
        <v>1.5095388000000001</v>
      </c>
      <c r="O70" s="11">
        <f t="shared" si="9"/>
        <v>0</v>
      </c>
      <c r="P70" s="11">
        <f t="shared" si="10"/>
        <v>1.3689445</v>
      </c>
      <c r="Q70" s="11">
        <f t="shared" si="11"/>
        <v>0</v>
      </c>
      <c r="R70" s="531"/>
      <c r="S70" s="415"/>
    </row>
    <row r="71" spans="1:19" s="180" customFormat="1" ht="13.5" thickBot="1">
      <c r="A71" s="1320"/>
      <c r="B71" s="416"/>
      <c r="C71" s="417" t="s">
        <v>1105</v>
      </c>
      <c r="D71" s="418" t="s">
        <v>1106</v>
      </c>
      <c r="E71" s="889">
        <v>113.74</v>
      </c>
      <c r="F71" s="8">
        <f t="shared" si="0"/>
        <v>62.557000000000002</v>
      </c>
      <c r="G71" s="10">
        <f t="shared" si="1"/>
        <v>0</v>
      </c>
      <c r="H71" s="11">
        <f t="shared" si="2"/>
        <v>1.9624130900000003</v>
      </c>
      <c r="I71" s="11">
        <f t="shared" si="3"/>
        <v>0</v>
      </c>
      <c r="J71" s="11">
        <f t="shared" si="4"/>
        <v>1.7140618000000001</v>
      </c>
      <c r="K71" s="11">
        <f t="shared" si="5"/>
        <v>0</v>
      </c>
      <c r="L71" s="11">
        <f t="shared" si="6"/>
        <v>1.4262996000000001</v>
      </c>
      <c r="M71" s="11">
        <f t="shared" si="7"/>
        <v>0</v>
      </c>
      <c r="N71" s="11">
        <f t="shared" si="8"/>
        <v>1.2761628</v>
      </c>
      <c r="O71" s="11">
        <f t="shared" si="9"/>
        <v>0</v>
      </c>
      <c r="P71" s="11">
        <f t="shared" si="10"/>
        <v>1.1573045</v>
      </c>
      <c r="Q71" s="11">
        <f t="shared" si="11"/>
        <v>0</v>
      </c>
      <c r="R71" s="531"/>
      <c r="S71" s="415"/>
    </row>
    <row r="72" spans="1:19" s="180" customFormat="1" ht="13.5" thickBot="1">
      <c r="A72" s="1320"/>
      <c r="B72" s="416"/>
      <c r="C72" s="419" t="s">
        <v>1125</v>
      </c>
      <c r="D72" s="420" t="s">
        <v>1126</v>
      </c>
      <c r="E72" s="889">
        <v>124.34</v>
      </c>
      <c r="F72" s="8">
        <f t="shared" si="0"/>
        <v>68.387</v>
      </c>
      <c r="G72" s="10">
        <f t="shared" si="1"/>
        <v>0</v>
      </c>
      <c r="H72" s="11">
        <f t="shared" si="2"/>
        <v>2.1453001899999999</v>
      </c>
      <c r="I72" s="11">
        <f t="shared" si="3"/>
        <v>0</v>
      </c>
      <c r="J72" s="11">
        <f t="shared" si="4"/>
        <v>1.8738038000000001</v>
      </c>
      <c r="K72" s="11">
        <f t="shared" si="5"/>
        <v>0</v>
      </c>
      <c r="L72" s="11">
        <f t="shared" si="6"/>
        <v>1.5592236000000002</v>
      </c>
      <c r="M72" s="11">
        <f t="shared" si="7"/>
        <v>0</v>
      </c>
      <c r="N72" s="11">
        <f t="shared" si="8"/>
        <v>1.3950948000000001</v>
      </c>
      <c r="O72" s="11">
        <f t="shared" si="9"/>
        <v>0</v>
      </c>
      <c r="P72" s="11">
        <f t="shared" si="10"/>
        <v>1.2651595</v>
      </c>
      <c r="Q72" s="11">
        <f t="shared" si="11"/>
        <v>0</v>
      </c>
      <c r="R72" s="531"/>
      <c r="S72" s="415"/>
    </row>
    <row r="73" spans="1:19" s="180" customFormat="1" ht="13.5" thickBot="1">
      <c r="A73" s="1320"/>
      <c r="B73" s="416"/>
      <c r="C73" s="419" t="s">
        <v>1115</v>
      </c>
      <c r="D73" s="420" t="s">
        <v>1116</v>
      </c>
      <c r="E73" s="889">
        <v>118.33</v>
      </c>
      <c r="F73" s="8">
        <f t="shared" si="0"/>
        <v>65.081500000000005</v>
      </c>
      <c r="G73" s="10">
        <f t="shared" si="1"/>
        <v>0</v>
      </c>
      <c r="H73" s="11">
        <f t="shared" si="2"/>
        <v>2.0416066550000003</v>
      </c>
      <c r="I73" s="11">
        <f t="shared" si="3"/>
        <v>0</v>
      </c>
      <c r="J73" s="11">
        <f t="shared" si="4"/>
        <v>1.7832331000000001</v>
      </c>
      <c r="K73" s="11">
        <f t="shared" si="5"/>
        <v>0</v>
      </c>
      <c r="L73" s="11">
        <f t="shared" si="6"/>
        <v>1.4838582000000002</v>
      </c>
      <c r="M73" s="11">
        <f t="shared" si="7"/>
        <v>0</v>
      </c>
      <c r="N73" s="11">
        <f t="shared" si="8"/>
        <v>1.3276626000000002</v>
      </c>
      <c r="O73" s="11">
        <f t="shared" si="9"/>
        <v>0</v>
      </c>
      <c r="P73" s="11">
        <f t="shared" si="10"/>
        <v>1.2040077499999999</v>
      </c>
      <c r="Q73" s="11">
        <f t="shared" si="11"/>
        <v>0</v>
      </c>
      <c r="R73" s="531"/>
      <c r="S73" s="415"/>
    </row>
    <row r="74" spans="1:19" s="180" customFormat="1" ht="13.5" thickBot="1">
      <c r="A74" s="1320"/>
      <c r="B74" s="416"/>
      <c r="C74" s="419" t="s">
        <v>1127</v>
      </c>
      <c r="D74" s="420" t="s">
        <v>1128</v>
      </c>
      <c r="E74" s="889">
        <v>122.49</v>
      </c>
      <c r="F74" s="8">
        <f t="shared" si="0"/>
        <v>67.369500000000002</v>
      </c>
      <c r="G74" s="10">
        <f t="shared" si="1"/>
        <v>0</v>
      </c>
      <c r="H74" s="11">
        <f t="shared" si="2"/>
        <v>2.1133812150000004</v>
      </c>
      <c r="I74" s="11">
        <f t="shared" si="3"/>
        <v>0</v>
      </c>
      <c r="J74" s="11">
        <f t="shared" si="4"/>
        <v>1.8459243000000001</v>
      </c>
      <c r="K74" s="11">
        <f t="shared" si="5"/>
        <v>0</v>
      </c>
      <c r="L74" s="11">
        <f t="shared" si="6"/>
        <v>1.5360246000000002</v>
      </c>
      <c r="M74" s="11">
        <f t="shared" si="7"/>
        <v>0</v>
      </c>
      <c r="N74" s="11">
        <f t="shared" si="8"/>
        <v>1.3743378000000002</v>
      </c>
      <c r="O74" s="11">
        <f t="shared" si="9"/>
        <v>0</v>
      </c>
      <c r="P74" s="11">
        <f t="shared" si="10"/>
        <v>1.2463357500000001</v>
      </c>
      <c r="Q74" s="11">
        <f t="shared" si="11"/>
        <v>0</v>
      </c>
      <c r="R74" s="531"/>
      <c r="S74" s="415"/>
    </row>
    <row r="75" spans="1:19" s="180" customFormat="1" ht="13.5" thickBot="1">
      <c r="A75" s="1320"/>
      <c r="B75" s="416"/>
      <c r="C75" s="417" t="s">
        <v>1117</v>
      </c>
      <c r="D75" s="418" t="s">
        <v>1118</v>
      </c>
      <c r="E75" s="889">
        <v>115.93</v>
      </c>
      <c r="F75" s="8">
        <f t="shared" si="0"/>
        <v>63.761500000000012</v>
      </c>
      <c r="G75" s="10">
        <f t="shared" si="1"/>
        <v>0</v>
      </c>
      <c r="H75" s="11">
        <f t="shared" si="2"/>
        <v>2.0001982550000004</v>
      </c>
      <c r="I75" s="11">
        <f t="shared" si="3"/>
        <v>0</v>
      </c>
      <c r="J75" s="11">
        <f t="shared" si="4"/>
        <v>1.7470651000000004</v>
      </c>
      <c r="K75" s="11">
        <f t="shared" si="5"/>
        <v>0</v>
      </c>
      <c r="L75" s="11">
        <f t="shared" si="6"/>
        <v>1.4537622000000003</v>
      </c>
      <c r="M75" s="11">
        <f t="shared" si="7"/>
        <v>0</v>
      </c>
      <c r="N75" s="11">
        <f t="shared" si="8"/>
        <v>1.3007346000000004</v>
      </c>
      <c r="O75" s="11">
        <f t="shared" si="9"/>
        <v>0</v>
      </c>
      <c r="P75" s="11">
        <f t="shared" si="10"/>
        <v>1.1795877500000003</v>
      </c>
      <c r="Q75" s="11">
        <f t="shared" si="11"/>
        <v>0</v>
      </c>
      <c r="R75" s="531"/>
      <c r="S75" s="415"/>
    </row>
    <row r="76" spans="1:19" s="180" customFormat="1" ht="13.5" thickBot="1">
      <c r="A76" s="1320"/>
      <c r="B76" s="416"/>
      <c r="C76" s="419" t="s">
        <v>1109</v>
      </c>
      <c r="D76" s="420" t="s">
        <v>1110</v>
      </c>
      <c r="E76" s="889">
        <v>105.33</v>
      </c>
      <c r="F76" s="8">
        <f t="shared" si="0"/>
        <v>57.931500000000007</v>
      </c>
      <c r="G76" s="10">
        <f t="shared" si="1"/>
        <v>0</v>
      </c>
      <c r="H76" s="11">
        <f t="shared" si="2"/>
        <v>1.8173111550000003</v>
      </c>
      <c r="I76" s="11">
        <f t="shared" si="3"/>
        <v>0</v>
      </c>
      <c r="J76" s="11">
        <f t="shared" si="4"/>
        <v>1.5873231000000003</v>
      </c>
      <c r="K76" s="11">
        <f t="shared" si="5"/>
        <v>0</v>
      </c>
      <c r="L76" s="11">
        <f t="shared" si="6"/>
        <v>1.3208382000000003</v>
      </c>
      <c r="M76" s="11">
        <f t="shared" si="7"/>
        <v>0</v>
      </c>
      <c r="N76" s="11">
        <f t="shared" si="8"/>
        <v>1.1818026000000001</v>
      </c>
      <c r="O76" s="11">
        <f t="shared" si="9"/>
        <v>0</v>
      </c>
      <c r="P76" s="11">
        <f t="shared" si="10"/>
        <v>1.07173275</v>
      </c>
      <c r="Q76" s="11">
        <f t="shared" si="11"/>
        <v>0</v>
      </c>
      <c r="R76" s="531"/>
      <c r="S76" s="415"/>
    </row>
    <row r="77" spans="1:19" s="180" customFormat="1" ht="13.5" thickBot="1">
      <c r="A77" s="1320"/>
      <c r="B77" s="416"/>
      <c r="C77" s="417" t="s">
        <v>1129</v>
      </c>
      <c r="D77" s="418" t="s">
        <v>1130</v>
      </c>
      <c r="E77" s="889">
        <v>115.12</v>
      </c>
      <c r="F77" s="8">
        <f t="shared" si="0"/>
        <v>63.31600000000001</v>
      </c>
      <c r="G77" s="10">
        <f t="shared" si="1"/>
        <v>0</v>
      </c>
      <c r="H77" s="11">
        <f t="shared" si="2"/>
        <v>1.9862229200000003</v>
      </c>
      <c r="I77" s="11">
        <f t="shared" si="3"/>
        <v>0</v>
      </c>
      <c r="J77" s="11">
        <f t="shared" si="4"/>
        <v>1.7348584000000002</v>
      </c>
      <c r="K77" s="11">
        <f t="shared" si="5"/>
        <v>0</v>
      </c>
      <c r="L77" s="11">
        <f t="shared" si="6"/>
        <v>1.4436048000000004</v>
      </c>
      <c r="M77" s="11">
        <f t="shared" si="7"/>
        <v>0</v>
      </c>
      <c r="N77" s="11">
        <f t="shared" si="8"/>
        <v>1.2916464000000003</v>
      </c>
      <c r="O77" s="11">
        <f t="shared" si="9"/>
        <v>0</v>
      </c>
      <c r="P77" s="11">
        <f t="shared" si="10"/>
        <v>1.1713460000000002</v>
      </c>
      <c r="Q77" s="11">
        <f t="shared" si="11"/>
        <v>0</v>
      </c>
      <c r="R77" s="531"/>
      <c r="S77" s="415"/>
    </row>
    <row r="78" spans="1:19" s="180" customFormat="1" ht="13.5" thickBot="1">
      <c r="A78" s="1320"/>
      <c r="B78" s="416"/>
      <c r="C78" s="417" t="s">
        <v>1119</v>
      </c>
      <c r="D78" s="418" t="s">
        <v>1120</v>
      </c>
      <c r="E78" s="889">
        <v>103.1</v>
      </c>
      <c r="F78" s="8">
        <f t="shared" si="0"/>
        <v>56.704999999999998</v>
      </c>
      <c r="G78" s="10">
        <f t="shared" si="1"/>
        <v>0</v>
      </c>
      <c r="H78" s="11">
        <f t="shared" si="2"/>
        <v>1.7788358500000001</v>
      </c>
      <c r="I78" s="11">
        <f t="shared" si="3"/>
        <v>0</v>
      </c>
      <c r="J78" s="11">
        <f t="shared" si="4"/>
        <v>1.553717</v>
      </c>
      <c r="K78" s="11">
        <f t="shared" si="5"/>
        <v>0</v>
      </c>
      <c r="L78" s="11">
        <f t="shared" si="6"/>
        <v>1.2928740000000001</v>
      </c>
      <c r="M78" s="11">
        <f t="shared" si="7"/>
        <v>0</v>
      </c>
      <c r="N78" s="11">
        <f t="shared" si="8"/>
        <v>1.156782</v>
      </c>
      <c r="O78" s="11">
        <f t="shared" si="9"/>
        <v>0</v>
      </c>
      <c r="P78" s="11">
        <f t="shared" si="10"/>
        <v>1.0490424999999999</v>
      </c>
      <c r="Q78" s="11">
        <f t="shared" si="11"/>
        <v>0</v>
      </c>
      <c r="R78" s="531"/>
      <c r="S78" s="415"/>
    </row>
    <row r="79" spans="1:19" s="180" customFormat="1" ht="13.5" thickBot="1">
      <c r="A79" s="1320"/>
      <c r="B79" s="416"/>
      <c r="C79" s="419" t="s">
        <v>1155</v>
      </c>
      <c r="D79" s="420" t="s">
        <v>1156</v>
      </c>
      <c r="E79" s="889">
        <v>99.44</v>
      </c>
      <c r="F79" s="8">
        <f t="shared" si="0"/>
        <v>54.692</v>
      </c>
      <c r="G79" s="10">
        <f t="shared" si="1"/>
        <v>0</v>
      </c>
      <c r="H79" s="11">
        <f t="shared" si="2"/>
        <v>1.7156880400000001</v>
      </c>
      <c r="I79" s="11">
        <f t="shared" si="3"/>
        <v>0</v>
      </c>
      <c r="J79" s="11">
        <f t="shared" si="4"/>
        <v>1.4985608000000001</v>
      </c>
      <c r="K79" s="11">
        <f t="shared" si="5"/>
        <v>0</v>
      </c>
      <c r="L79" s="11">
        <f t="shared" si="6"/>
        <v>1.2469776000000001</v>
      </c>
      <c r="M79" s="11">
        <f t="shared" si="7"/>
        <v>0</v>
      </c>
      <c r="N79" s="11">
        <f t="shared" si="8"/>
        <v>1.1157168000000002</v>
      </c>
      <c r="O79" s="11">
        <f t="shared" si="9"/>
        <v>0</v>
      </c>
      <c r="P79" s="11">
        <f t="shared" si="10"/>
        <v>1.0118019999999999</v>
      </c>
      <c r="Q79" s="11">
        <f t="shared" si="11"/>
        <v>0</v>
      </c>
      <c r="R79" s="531"/>
      <c r="S79" s="415"/>
    </row>
    <row r="80" spans="1:19" s="180" customFormat="1" ht="13.5" thickBot="1">
      <c r="A80" s="1320"/>
      <c r="B80" s="416"/>
      <c r="C80" s="419" t="s">
        <v>1157</v>
      </c>
      <c r="D80" s="420" t="s">
        <v>1158</v>
      </c>
      <c r="E80" s="889">
        <v>99.44</v>
      </c>
      <c r="F80" s="8">
        <f t="shared" si="0"/>
        <v>54.692</v>
      </c>
      <c r="G80" s="10">
        <f t="shared" si="1"/>
        <v>0</v>
      </c>
      <c r="H80" s="11">
        <f t="shared" si="2"/>
        <v>1.7156880400000001</v>
      </c>
      <c r="I80" s="11">
        <f t="shared" si="3"/>
        <v>0</v>
      </c>
      <c r="J80" s="11">
        <f t="shared" si="4"/>
        <v>1.4985608000000001</v>
      </c>
      <c r="K80" s="11">
        <f t="shared" si="5"/>
        <v>0</v>
      </c>
      <c r="L80" s="11">
        <f t="shared" si="6"/>
        <v>1.2469776000000001</v>
      </c>
      <c r="M80" s="11">
        <f t="shared" si="7"/>
        <v>0</v>
      </c>
      <c r="N80" s="11">
        <f t="shared" si="8"/>
        <v>1.1157168000000002</v>
      </c>
      <c r="O80" s="11">
        <f t="shared" si="9"/>
        <v>0</v>
      </c>
      <c r="P80" s="11">
        <f t="shared" si="10"/>
        <v>1.0118019999999999</v>
      </c>
      <c r="Q80" s="11">
        <f t="shared" si="11"/>
        <v>0</v>
      </c>
      <c r="R80" s="531"/>
      <c r="S80" s="415"/>
    </row>
    <row r="81" spans="1:19" s="180" customFormat="1" ht="13.5" thickBot="1">
      <c r="A81" s="1320"/>
      <c r="B81" s="416"/>
      <c r="C81" s="419" t="s">
        <v>1159</v>
      </c>
      <c r="D81" s="420" t="s">
        <v>1160</v>
      </c>
      <c r="E81" s="889">
        <v>99.44</v>
      </c>
      <c r="F81" s="8">
        <f t="shared" si="0"/>
        <v>54.692</v>
      </c>
      <c r="G81" s="10">
        <f t="shared" si="1"/>
        <v>0</v>
      </c>
      <c r="H81" s="11">
        <f t="shared" si="2"/>
        <v>1.7156880400000001</v>
      </c>
      <c r="I81" s="11">
        <f t="shared" si="3"/>
        <v>0</v>
      </c>
      <c r="J81" s="11">
        <f t="shared" si="4"/>
        <v>1.4985608000000001</v>
      </c>
      <c r="K81" s="11">
        <f t="shared" si="5"/>
        <v>0</v>
      </c>
      <c r="L81" s="11">
        <f t="shared" si="6"/>
        <v>1.2469776000000001</v>
      </c>
      <c r="M81" s="11">
        <f t="shared" si="7"/>
        <v>0</v>
      </c>
      <c r="N81" s="11">
        <f t="shared" si="8"/>
        <v>1.1157168000000002</v>
      </c>
      <c r="O81" s="11">
        <f t="shared" si="9"/>
        <v>0</v>
      </c>
      <c r="P81" s="11">
        <f t="shared" si="10"/>
        <v>1.0118019999999999</v>
      </c>
      <c r="Q81" s="11">
        <f t="shared" si="11"/>
        <v>0</v>
      </c>
      <c r="R81" s="531"/>
      <c r="S81" s="415"/>
    </row>
    <row r="82" spans="1:19" s="180" customFormat="1" ht="13.5" thickBot="1">
      <c r="A82" s="1320"/>
      <c r="B82" s="416"/>
      <c r="C82" s="417" t="s">
        <v>1299</v>
      </c>
      <c r="D82" s="418" t="s">
        <v>1300</v>
      </c>
      <c r="E82" s="889">
        <v>924.92</v>
      </c>
      <c r="F82" s="8">
        <f t="shared" si="0"/>
        <v>508.70600000000002</v>
      </c>
      <c r="G82" s="10">
        <f t="shared" si="1"/>
        <v>0</v>
      </c>
      <c r="H82" s="11">
        <f t="shared" si="2"/>
        <v>15.958107220000002</v>
      </c>
      <c r="I82" s="11">
        <f t="shared" si="3"/>
        <v>0</v>
      </c>
      <c r="J82" s="11">
        <f t="shared" si="4"/>
        <v>13.938544400000001</v>
      </c>
      <c r="K82" s="11">
        <f t="shared" si="5"/>
        <v>0</v>
      </c>
      <c r="L82" s="11">
        <f t="shared" si="6"/>
        <v>11.598496800000001</v>
      </c>
      <c r="M82" s="11">
        <f t="shared" si="7"/>
        <v>0</v>
      </c>
      <c r="N82" s="11">
        <f t="shared" si="8"/>
        <v>10.377602400000001</v>
      </c>
      <c r="O82" s="11">
        <f t="shared" si="9"/>
        <v>0</v>
      </c>
      <c r="P82" s="11">
        <f t="shared" si="10"/>
        <v>9.4110610000000001</v>
      </c>
      <c r="Q82" s="11">
        <f t="shared" si="11"/>
        <v>0</v>
      </c>
      <c r="R82" s="531"/>
      <c r="S82" s="415"/>
    </row>
    <row r="83" spans="1:19" s="180" customFormat="1" ht="13.5" thickBot="1">
      <c r="A83" s="1320"/>
      <c r="B83" s="416"/>
      <c r="C83" s="417" t="s">
        <v>1201</v>
      </c>
      <c r="D83" s="418" t="s">
        <v>1202</v>
      </c>
      <c r="E83" s="889">
        <v>25001.78</v>
      </c>
      <c r="F83" s="8">
        <f t="shared" si="0"/>
        <v>13750.979000000001</v>
      </c>
      <c r="G83" s="10">
        <f t="shared" si="1"/>
        <v>0</v>
      </c>
      <c r="H83" s="11">
        <f t="shared" si="2"/>
        <v>431.36821123000004</v>
      </c>
      <c r="I83" s="11">
        <f t="shared" si="3"/>
        <v>0</v>
      </c>
      <c r="J83" s="11">
        <f t="shared" si="4"/>
        <v>376.77682460000005</v>
      </c>
      <c r="K83" s="11">
        <f t="shared" si="5"/>
        <v>0</v>
      </c>
      <c r="L83" s="11">
        <f t="shared" si="6"/>
        <v>313.52232120000002</v>
      </c>
      <c r="M83" s="11">
        <f t="shared" si="7"/>
        <v>0</v>
      </c>
      <c r="N83" s="11">
        <f t="shared" si="8"/>
        <v>280.51997160000002</v>
      </c>
      <c r="O83" s="11">
        <f t="shared" si="9"/>
        <v>0</v>
      </c>
      <c r="P83" s="11">
        <f t="shared" si="10"/>
        <v>254.3931115</v>
      </c>
      <c r="Q83" s="11">
        <f t="shared" si="11"/>
        <v>0</v>
      </c>
      <c r="R83" s="531"/>
      <c r="S83" s="415"/>
    </row>
    <row r="84" spans="1:19" s="180" customFormat="1" ht="13.5" thickBot="1">
      <c r="A84" s="1320"/>
      <c r="B84" s="416"/>
      <c r="C84" s="419" t="s">
        <v>1203</v>
      </c>
      <c r="D84" s="420" t="s">
        <v>1204</v>
      </c>
      <c r="E84" s="889">
        <v>15459.44</v>
      </c>
      <c r="F84" s="8">
        <f t="shared" si="0"/>
        <v>8502.6920000000009</v>
      </c>
      <c r="G84" s="10">
        <f t="shared" si="1"/>
        <v>0</v>
      </c>
      <c r="H84" s="11">
        <f t="shared" si="2"/>
        <v>266.72944804000002</v>
      </c>
      <c r="I84" s="11">
        <f t="shared" si="3"/>
        <v>0</v>
      </c>
      <c r="J84" s="11">
        <f t="shared" si="4"/>
        <v>232.97376080000004</v>
      </c>
      <c r="K84" s="11">
        <f t="shared" si="5"/>
        <v>0</v>
      </c>
      <c r="L84" s="11">
        <f t="shared" si="6"/>
        <v>193.86137760000003</v>
      </c>
      <c r="M84" s="11">
        <f t="shared" si="7"/>
        <v>0</v>
      </c>
      <c r="N84" s="11">
        <f t="shared" si="8"/>
        <v>173.45491680000003</v>
      </c>
      <c r="O84" s="11">
        <f t="shared" si="9"/>
        <v>0</v>
      </c>
      <c r="P84" s="11">
        <f t="shared" si="10"/>
        <v>157.299802</v>
      </c>
      <c r="Q84" s="11">
        <f t="shared" si="11"/>
        <v>0</v>
      </c>
      <c r="R84" s="531"/>
      <c r="S84" s="415"/>
    </row>
    <row r="85" spans="1:19" s="180" customFormat="1" ht="13.5" thickBot="1">
      <c r="A85" s="1320"/>
      <c r="B85" s="416"/>
      <c r="C85" s="419">
        <v>45112781</v>
      </c>
      <c r="D85" s="420" t="s">
        <v>4029</v>
      </c>
      <c r="E85" s="889">
        <v>7870.72</v>
      </c>
      <c r="F85" s="8">
        <f t="shared" si="0"/>
        <v>4328.8960000000006</v>
      </c>
      <c r="G85" s="10">
        <f t="shared" si="1"/>
        <v>0</v>
      </c>
      <c r="H85" s="11">
        <f t="shared" si="2"/>
        <v>135.79746752000003</v>
      </c>
      <c r="I85" s="11">
        <f t="shared" si="3"/>
        <v>0</v>
      </c>
      <c r="J85" s="11">
        <f t="shared" si="4"/>
        <v>118.61175040000002</v>
      </c>
      <c r="K85" s="11">
        <f t="shared" si="5"/>
        <v>0</v>
      </c>
      <c r="L85" s="11">
        <f t="shared" si="6"/>
        <v>98.698828800000015</v>
      </c>
      <c r="M85" s="11">
        <f t="shared" si="7"/>
        <v>0</v>
      </c>
      <c r="N85" s="11">
        <f t="shared" si="8"/>
        <v>88.309478400000017</v>
      </c>
      <c r="O85" s="11">
        <f t="shared" si="9"/>
        <v>0</v>
      </c>
      <c r="P85" s="11">
        <f t="shared" si="10"/>
        <v>80.084576000000013</v>
      </c>
      <c r="Q85" s="11">
        <f t="shared" si="11"/>
        <v>0</v>
      </c>
      <c r="R85" s="531"/>
      <c r="S85" s="415"/>
    </row>
    <row r="86" spans="1:19" s="180" customFormat="1" ht="13.5" thickBot="1">
      <c r="A86" s="1320"/>
      <c r="B86" s="416"/>
      <c r="C86" s="417" t="s">
        <v>1134</v>
      </c>
      <c r="D86" s="418" t="s">
        <v>1135</v>
      </c>
      <c r="E86" s="889">
        <v>6878.07</v>
      </c>
      <c r="F86" s="8">
        <f t="shared" si="0"/>
        <v>3782.9385000000002</v>
      </c>
      <c r="G86" s="10">
        <f t="shared" si="1"/>
        <v>0</v>
      </c>
      <c r="H86" s="11">
        <f t="shared" si="2"/>
        <v>118.67078074500002</v>
      </c>
      <c r="I86" s="11">
        <f t="shared" si="3"/>
        <v>0</v>
      </c>
      <c r="J86" s="11">
        <f t="shared" si="4"/>
        <v>103.65251490000001</v>
      </c>
      <c r="K86" s="11">
        <f t="shared" si="5"/>
        <v>0</v>
      </c>
      <c r="L86" s="11">
        <f t="shared" si="6"/>
        <v>86.250997800000007</v>
      </c>
      <c r="M86" s="11">
        <f t="shared" si="7"/>
        <v>0</v>
      </c>
      <c r="N86" s="11">
        <f t="shared" si="8"/>
        <v>77.171945400000013</v>
      </c>
      <c r="O86" s="11">
        <f t="shared" si="9"/>
        <v>0</v>
      </c>
      <c r="P86" s="11">
        <f t="shared" si="10"/>
        <v>69.984362250000004</v>
      </c>
      <c r="Q86" s="11">
        <f t="shared" si="11"/>
        <v>0</v>
      </c>
      <c r="R86" s="531"/>
      <c r="S86" s="415"/>
    </row>
    <row r="87" spans="1:19" s="180" customFormat="1" ht="13.5" thickBot="1">
      <c r="A87" s="1320"/>
      <c r="B87" s="416"/>
      <c r="C87" s="417" t="s">
        <v>4007</v>
      </c>
      <c r="D87" s="418" t="s">
        <v>4008</v>
      </c>
      <c r="E87" s="889">
        <v>26500</v>
      </c>
      <c r="F87" s="8">
        <f t="shared" si="0"/>
        <v>14575.000000000002</v>
      </c>
      <c r="G87" s="10">
        <f t="shared" si="1"/>
        <v>0</v>
      </c>
      <c r="H87" s="11">
        <f t="shared" si="2"/>
        <v>457.21775000000008</v>
      </c>
      <c r="I87" s="11">
        <f t="shared" si="3"/>
        <v>0</v>
      </c>
      <c r="J87" s="11">
        <f t="shared" si="4"/>
        <v>399.35500000000008</v>
      </c>
      <c r="K87" s="11">
        <f t="shared" si="5"/>
        <v>0</v>
      </c>
      <c r="L87" s="11">
        <f t="shared" si="6"/>
        <v>332.31000000000006</v>
      </c>
      <c r="M87" s="11">
        <f t="shared" si="7"/>
        <v>0</v>
      </c>
      <c r="N87" s="11">
        <f t="shared" si="8"/>
        <v>297.33000000000004</v>
      </c>
      <c r="O87" s="11">
        <f t="shared" si="9"/>
        <v>0</v>
      </c>
      <c r="P87" s="11">
        <f t="shared" si="10"/>
        <v>269.63750000000005</v>
      </c>
      <c r="Q87" s="11">
        <f t="shared" si="11"/>
        <v>0</v>
      </c>
      <c r="R87" s="531"/>
      <c r="S87" s="415"/>
    </row>
    <row r="88" spans="1:19" s="180" customFormat="1" ht="13.5" thickBot="1">
      <c r="A88" s="1320"/>
      <c r="B88" s="416"/>
      <c r="C88" s="419" t="s">
        <v>1167</v>
      </c>
      <c r="D88" s="420" t="s">
        <v>1168</v>
      </c>
      <c r="E88" s="889">
        <v>24604.13</v>
      </c>
      <c r="F88" s="8">
        <f t="shared" si="0"/>
        <v>13532.271500000003</v>
      </c>
      <c r="G88" s="10">
        <f t="shared" si="1"/>
        <v>0</v>
      </c>
      <c r="H88" s="11">
        <f t="shared" si="2"/>
        <v>424.50735695500009</v>
      </c>
      <c r="I88" s="11">
        <f t="shared" si="3"/>
        <v>0</v>
      </c>
      <c r="J88" s="11">
        <f t="shared" si="4"/>
        <v>370.78423910000009</v>
      </c>
      <c r="K88" s="11">
        <f t="shared" si="5"/>
        <v>0</v>
      </c>
      <c r="L88" s="11">
        <f t="shared" si="6"/>
        <v>308.53579020000006</v>
      </c>
      <c r="M88" s="11">
        <f t="shared" si="7"/>
        <v>0</v>
      </c>
      <c r="N88" s="11">
        <f t="shared" si="8"/>
        <v>276.05833860000007</v>
      </c>
      <c r="O88" s="11">
        <f t="shared" si="9"/>
        <v>0</v>
      </c>
      <c r="P88" s="11">
        <f t="shared" si="10"/>
        <v>250.34702275000004</v>
      </c>
      <c r="Q88" s="11">
        <f t="shared" si="11"/>
        <v>0</v>
      </c>
      <c r="R88" s="531"/>
      <c r="S88" s="415"/>
    </row>
    <row r="89" spans="1:19" s="180" customFormat="1" ht="13.5" thickBot="1">
      <c r="A89" s="1320"/>
      <c r="B89" s="416"/>
      <c r="C89" s="419">
        <v>7723000</v>
      </c>
      <c r="D89" s="420" t="s">
        <v>1131</v>
      </c>
      <c r="E89" s="889">
        <v>50817.919999999998</v>
      </c>
      <c r="F89" s="8">
        <f t="shared" si="0"/>
        <v>27949.856</v>
      </c>
      <c r="G89" s="10">
        <f t="shared" si="1"/>
        <v>0</v>
      </c>
      <c r="H89" s="11">
        <f t="shared" si="2"/>
        <v>876.78698272000008</v>
      </c>
      <c r="I89" s="11">
        <f t="shared" si="3"/>
        <v>0</v>
      </c>
      <c r="J89" s="11">
        <f t="shared" si="4"/>
        <v>765.82605439999998</v>
      </c>
      <c r="K89" s="11">
        <f t="shared" si="5"/>
        <v>0</v>
      </c>
      <c r="L89" s="11">
        <f t="shared" si="6"/>
        <v>637.25671680000005</v>
      </c>
      <c r="M89" s="11">
        <f t="shared" si="7"/>
        <v>0</v>
      </c>
      <c r="N89" s="11">
        <f t="shared" si="8"/>
        <v>570.17706240000007</v>
      </c>
      <c r="O89" s="11">
        <f t="shared" si="9"/>
        <v>0</v>
      </c>
      <c r="P89" s="11">
        <f t="shared" si="10"/>
        <v>517.07233599999995</v>
      </c>
      <c r="Q89" s="11">
        <f t="shared" si="11"/>
        <v>0</v>
      </c>
      <c r="R89" s="531"/>
      <c r="S89" s="415"/>
    </row>
    <row r="90" spans="1:19" s="180" customFormat="1" ht="13.5" thickBot="1">
      <c r="A90" s="1320"/>
      <c r="B90" s="416"/>
      <c r="C90" s="419" t="s">
        <v>1148</v>
      </c>
      <c r="D90" s="420" t="s">
        <v>1149</v>
      </c>
      <c r="E90" s="889">
        <v>14005.99</v>
      </c>
      <c r="F90" s="8">
        <f t="shared" si="0"/>
        <v>7703.2945000000009</v>
      </c>
      <c r="G90" s="10">
        <f t="shared" si="1"/>
        <v>0</v>
      </c>
      <c r="H90" s="11">
        <f t="shared" si="2"/>
        <v>241.65234846500005</v>
      </c>
      <c r="I90" s="11">
        <f t="shared" si="3"/>
        <v>0</v>
      </c>
      <c r="J90" s="11">
        <f t="shared" si="4"/>
        <v>211.07026930000004</v>
      </c>
      <c r="K90" s="11">
        <f t="shared" si="5"/>
        <v>0</v>
      </c>
      <c r="L90" s="11">
        <f t="shared" si="6"/>
        <v>175.63511460000004</v>
      </c>
      <c r="M90" s="11">
        <f t="shared" si="7"/>
        <v>0</v>
      </c>
      <c r="N90" s="11">
        <f t="shared" si="8"/>
        <v>157.14720780000002</v>
      </c>
      <c r="O90" s="11">
        <f t="shared" si="9"/>
        <v>0</v>
      </c>
      <c r="P90" s="11">
        <f t="shared" si="10"/>
        <v>142.51094825000001</v>
      </c>
      <c r="Q90" s="11">
        <f t="shared" si="11"/>
        <v>0</v>
      </c>
      <c r="R90" s="531"/>
      <c r="S90" s="415"/>
    </row>
    <row r="91" spans="1:19" s="180" customFormat="1" ht="13.5" thickBot="1">
      <c r="A91" s="1320"/>
      <c r="B91" s="416"/>
      <c r="C91" s="417" t="s">
        <v>1301</v>
      </c>
      <c r="D91" s="418" t="s">
        <v>1302</v>
      </c>
      <c r="E91" s="889">
        <v>1765.76</v>
      </c>
      <c r="F91" s="8">
        <f t="shared" si="0"/>
        <v>971.16800000000012</v>
      </c>
      <c r="G91" s="10">
        <f t="shared" si="1"/>
        <v>0</v>
      </c>
      <c r="H91" s="11">
        <f t="shared" si="2"/>
        <v>30.465540160000007</v>
      </c>
      <c r="I91" s="11">
        <f t="shared" si="3"/>
        <v>0</v>
      </c>
      <c r="J91" s="11">
        <f t="shared" si="4"/>
        <v>26.610003200000005</v>
      </c>
      <c r="K91" s="11">
        <f t="shared" si="5"/>
        <v>0</v>
      </c>
      <c r="L91" s="11">
        <f t="shared" si="6"/>
        <v>22.142630400000005</v>
      </c>
      <c r="M91" s="11">
        <f t="shared" si="7"/>
        <v>0</v>
      </c>
      <c r="N91" s="11">
        <f t="shared" si="8"/>
        <v>19.811827200000003</v>
      </c>
      <c r="O91" s="11">
        <f t="shared" si="9"/>
        <v>0</v>
      </c>
      <c r="P91" s="11">
        <f t="shared" si="10"/>
        <v>17.966608000000001</v>
      </c>
      <c r="Q91" s="11">
        <f t="shared" si="11"/>
        <v>0</v>
      </c>
      <c r="R91" s="531"/>
      <c r="S91" s="415"/>
    </row>
    <row r="92" spans="1:19" s="180" customFormat="1" ht="13.5" thickBot="1">
      <c r="A92" s="1320"/>
      <c r="B92" s="416"/>
      <c r="C92" s="419" t="s">
        <v>1303</v>
      </c>
      <c r="D92" s="420" t="s">
        <v>1304</v>
      </c>
      <c r="E92" s="889">
        <v>2795.19</v>
      </c>
      <c r="F92" s="8">
        <f t="shared" si="0"/>
        <v>1537.3545000000001</v>
      </c>
      <c r="G92" s="10">
        <f t="shared" si="1"/>
        <v>0</v>
      </c>
      <c r="H92" s="11">
        <f t="shared" si="2"/>
        <v>48.226810665000009</v>
      </c>
      <c r="I92" s="11">
        <f t="shared" si="3"/>
        <v>0</v>
      </c>
      <c r="J92" s="11">
        <f t="shared" si="4"/>
        <v>42.123513300000006</v>
      </c>
      <c r="K92" s="11">
        <f t="shared" si="5"/>
        <v>0</v>
      </c>
      <c r="L92" s="11">
        <f t="shared" si="6"/>
        <v>35.051682600000007</v>
      </c>
      <c r="M92" s="11">
        <f t="shared" si="7"/>
        <v>0</v>
      </c>
      <c r="N92" s="11">
        <f t="shared" si="8"/>
        <v>31.362031800000004</v>
      </c>
      <c r="O92" s="11">
        <f t="shared" si="9"/>
        <v>0</v>
      </c>
      <c r="P92" s="11">
        <f t="shared" si="10"/>
        <v>28.441058250000001</v>
      </c>
      <c r="Q92" s="11">
        <f t="shared" si="11"/>
        <v>0</v>
      </c>
      <c r="R92" s="531"/>
      <c r="S92" s="415"/>
    </row>
    <row r="93" spans="1:19" s="180" customFormat="1" ht="13.5" thickBot="1">
      <c r="A93" s="1320"/>
      <c r="B93" s="416"/>
      <c r="C93" s="419" t="s">
        <v>1209</v>
      </c>
      <c r="D93" s="420" t="s">
        <v>1210</v>
      </c>
      <c r="E93" s="889">
        <v>3082.28</v>
      </c>
      <c r="F93" s="8">
        <f t="shared" ref="F93:F102" si="12">E93*(1-45%)</f>
        <v>1695.2540000000004</v>
      </c>
      <c r="G93" s="10">
        <f t="shared" ref="G93:G102" si="13">F93*B93</f>
        <v>0</v>
      </c>
      <c r="H93" s="11">
        <f t="shared" ref="H93:H156" si="14">F93*0.03137</f>
        <v>53.180117980000013</v>
      </c>
      <c r="I93" s="11">
        <f t="shared" ref="I93:I156" si="15">H93*B93</f>
        <v>0</v>
      </c>
      <c r="J93" s="11">
        <f t="shared" ref="J93:J138" si="16">F93*0.0274</f>
        <v>46.449959600000014</v>
      </c>
      <c r="K93" s="11">
        <f t="shared" ref="K93:K156" si="17">J93*B93</f>
        <v>0</v>
      </c>
      <c r="L93" s="11">
        <f t="shared" ref="L93:L139" si="18">F93*0.0228</f>
        <v>38.651791200000012</v>
      </c>
      <c r="M93" s="11">
        <f t="shared" ref="M93:M156" si="19">L93*B93</f>
        <v>0</v>
      </c>
      <c r="N93" s="11">
        <f t="shared" ref="N93:N156" si="20">F93*0.0204</f>
        <v>34.58318160000001</v>
      </c>
      <c r="O93" s="11">
        <f t="shared" ref="O93:O156" si="21">N93*B93</f>
        <v>0</v>
      </c>
      <c r="P93" s="11">
        <f t="shared" ref="P93:P156" si="22">F93*0.0185</f>
        <v>31.362199000000004</v>
      </c>
      <c r="Q93" s="11">
        <f t="shared" ref="Q93:Q156" si="23">P93*B93</f>
        <v>0</v>
      </c>
      <c r="R93" s="531"/>
      <c r="S93" s="415"/>
    </row>
    <row r="94" spans="1:19" s="180" customFormat="1" ht="13.5" thickBot="1">
      <c r="A94" s="1320"/>
      <c r="B94" s="416"/>
      <c r="C94" s="419" t="s">
        <v>1305</v>
      </c>
      <c r="D94" s="420" t="s">
        <v>1306</v>
      </c>
      <c r="E94" s="889">
        <v>330.33</v>
      </c>
      <c r="F94" s="8">
        <f t="shared" si="12"/>
        <v>181.6815</v>
      </c>
      <c r="G94" s="10">
        <f t="shared" si="13"/>
        <v>0</v>
      </c>
      <c r="H94" s="11">
        <f t="shared" si="14"/>
        <v>5.6993486550000005</v>
      </c>
      <c r="I94" s="11">
        <f t="shared" si="15"/>
        <v>0</v>
      </c>
      <c r="J94" s="11">
        <f t="shared" si="16"/>
        <v>4.9780731000000005</v>
      </c>
      <c r="K94" s="11">
        <f t="shared" si="17"/>
        <v>0</v>
      </c>
      <c r="L94" s="11">
        <f t="shared" si="18"/>
        <v>4.1423382000000002</v>
      </c>
      <c r="M94" s="11">
        <f t="shared" si="19"/>
        <v>0</v>
      </c>
      <c r="N94" s="11">
        <f t="shared" si="20"/>
        <v>3.7063026000000003</v>
      </c>
      <c r="O94" s="11">
        <f t="shared" si="21"/>
        <v>0</v>
      </c>
      <c r="P94" s="11">
        <f t="shared" si="22"/>
        <v>3.3611077499999999</v>
      </c>
      <c r="Q94" s="11">
        <f t="shared" si="23"/>
        <v>0</v>
      </c>
      <c r="R94" s="531"/>
      <c r="S94" s="415"/>
    </row>
    <row r="95" spans="1:19" s="180" customFormat="1" ht="13.5" thickBot="1">
      <c r="A95" s="1320"/>
      <c r="B95" s="416"/>
      <c r="C95" s="502" t="s">
        <v>1307</v>
      </c>
      <c r="D95" s="418" t="s">
        <v>1308</v>
      </c>
      <c r="E95" s="889">
        <v>2347.15</v>
      </c>
      <c r="F95" s="8">
        <f t="shared" si="12"/>
        <v>1290.9325000000001</v>
      </c>
      <c r="G95" s="10">
        <f t="shared" si="13"/>
        <v>0</v>
      </c>
      <c r="H95" s="11">
        <f t="shared" si="14"/>
        <v>40.496552525000006</v>
      </c>
      <c r="I95" s="11">
        <f t="shared" si="15"/>
        <v>0</v>
      </c>
      <c r="J95" s="11">
        <f t="shared" si="16"/>
        <v>35.371550500000005</v>
      </c>
      <c r="K95" s="11">
        <f t="shared" si="17"/>
        <v>0</v>
      </c>
      <c r="L95" s="11">
        <f t="shared" si="18"/>
        <v>29.433261000000005</v>
      </c>
      <c r="M95" s="11">
        <f t="shared" si="19"/>
        <v>0</v>
      </c>
      <c r="N95" s="11">
        <f t="shared" si="20"/>
        <v>26.335023000000003</v>
      </c>
      <c r="O95" s="11">
        <f t="shared" si="21"/>
        <v>0</v>
      </c>
      <c r="P95" s="11">
        <f t="shared" si="22"/>
        <v>23.882251249999999</v>
      </c>
      <c r="Q95" s="11">
        <f t="shared" si="23"/>
        <v>0</v>
      </c>
      <c r="R95" s="531"/>
      <c r="S95" s="415"/>
    </row>
    <row r="96" spans="1:19" s="180" customFormat="1" ht="13.5" thickBot="1">
      <c r="A96" s="1320"/>
      <c r="B96" s="416"/>
      <c r="C96" s="419" t="s">
        <v>1211</v>
      </c>
      <c r="D96" s="420" t="s">
        <v>1212</v>
      </c>
      <c r="E96" s="889">
        <v>5200</v>
      </c>
      <c r="F96" s="8">
        <f t="shared" si="12"/>
        <v>2860.0000000000005</v>
      </c>
      <c r="G96" s="10">
        <f t="shared" si="13"/>
        <v>0</v>
      </c>
      <c r="H96" s="11">
        <f t="shared" si="14"/>
        <v>89.718200000000024</v>
      </c>
      <c r="I96" s="11">
        <f t="shared" si="15"/>
        <v>0</v>
      </c>
      <c r="J96" s="11">
        <f t="shared" si="16"/>
        <v>78.364000000000019</v>
      </c>
      <c r="K96" s="11">
        <f t="shared" si="17"/>
        <v>0</v>
      </c>
      <c r="L96" s="11">
        <f t="shared" si="18"/>
        <v>65.208000000000013</v>
      </c>
      <c r="M96" s="11">
        <f t="shared" si="19"/>
        <v>0</v>
      </c>
      <c r="N96" s="11">
        <f t="shared" si="20"/>
        <v>58.344000000000015</v>
      </c>
      <c r="O96" s="11">
        <f t="shared" si="21"/>
        <v>0</v>
      </c>
      <c r="P96" s="11">
        <f t="shared" si="22"/>
        <v>52.910000000000004</v>
      </c>
      <c r="Q96" s="11">
        <f t="shared" si="23"/>
        <v>0</v>
      </c>
      <c r="R96" s="531"/>
      <c r="S96" s="415"/>
    </row>
    <row r="97" spans="1:19" s="180" customFormat="1" ht="13.5" thickBot="1">
      <c r="A97" s="1320"/>
      <c r="B97" s="416"/>
      <c r="C97" s="417" t="s">
        <v>1213</v>
      </c>
      <c r="D97" s="418" t="s">
        <v>1214</v>
      </c>
      <c r="E97" s="889">
        <v>5200</v>
      </c>
      <c r="F97" s="8">
        <f t="shared" si="12"/>
        <v>2860.0000000000005</v>
      </c>
      <c r="G97" s="10">
        <f t="shared" si="13"/>
        <v>0</v>
      </c>
      <c r="H97" s="11">
        <f t="shared" si="14"/>
        <v>89.718200000000024</v>
      </c>
      <c r="I97" s="11">
        <f t="shared" si="15"/>
        <v>0</v>
      </c>
      <c r="J97" s="11">
        <f t="shared" si="16"/>
        <v>78.364000000000019</v>
      </c>
      <c r="K97" s="11">
        <f t="shared" si="17"/>
        <v>0</v>
      </c>
      <c r="L97" s="11">
        <f t="shared" si="18"/>
        <v>65.208000000000013</v>
      </c>
      <c r="M97" s="11">
        <f t="shared" si="19"/>
        <v>0</v>
      </c>
      <c r="N97" s="11">
        <f t="shared" si="20"/>
        <v>58.344000000000015</v>
      </c>
      <c r="O97" s="11">
        <f t="shared" si="21"/>
        <v>0</v>
      </c>
      <c r="P97" s="11">
        <f t="shared" si="22"/>
        <v>52.910000000000004</v>
      </c>
      <c r="Q97" s="11">
        <f t="shared" si="23"/>
        <v>0</v>
      </c>
      <c r="R97" s="531"/>
      <c r="S97" s="415"/>
    </row>
    <row r="98" spans="1:19" s="180" customFormat="1" ht="13.5" thickBot="1">
      <c r="A98" s="1320"/>
      <c r="B98" s="416"/>
      <c r="C98" s="419" t="s">
        <v>1368</v>
      </c>
      <c r="D98" s="420" t="s">
        <v>4009</v>
      </c>
      <c r="E98" s="889">
        <v>5200</v>
      </c>
      <c r="F98" s="8">
        <f t="shared" si="12"/>
        <v>2860.0000000000005</v>
      </c>
      <c r="G98" s="10">
        <f t="shared" si="13"/>
        <v>0</v>
      </c>
      <c r="H98" s="11">
        <f t="shared" si="14"/>
        <v>89.718200000000024</v>
      </c>
      <c r="I98" s="11">
        <f t="shared" si="15"/>
        <v>0</v>
      </c>
      <c r="J98" s="11">
        <f t="shared" si="16"/>
        <v>78.364000000000019</v>
      </c>
      <c r="K98" s="11">
        <f t="shared" si="17"/>
        <v>0</v>
      </c>
      <c r="L98" s="11">
        <f t="shared" si="18"/>
        <v>65.208000000000013</v>
      </c>
      <c r="M98" s="11">
        <f t="shared" si="19"/>
        <v>0</v>
      </c>
      <c r="N98" s="11">
        <f t="shared" si="20"/>
        <v>58.344000000000015</v>
      </c>
      <c r="O98" s="11">
        <f t="shared" si="21"/>
        <v>0</v>
      </c>
      <c r="P98" s="11">
        <f t="shared" si="22"/>
        <v>52.910000000000004</v>
      </c>
      <c r="Q98" s="11">
        <f t="shared" si="23"/>
        <v>0</v>
      </c>
      <c r="R98" s="531"/>
      <c r="S98" s="415"/>
    </row>
    <row r="99" spans="1:19" s="180" customFormat="1" ht="13.5" thickBot="1">
      <c r="A99" s="1320"/>
      <c r="B99" s="416"/>
      <c r="C99" s="419" t="s">
        <v>1215</v>
      </c>
      <c r="D99" s="420" t="s">
        <v>1216</v>
      </c>
      <c r="E99" s="889">
        <v>9995</v>
      </c>
      <c r="F99" s="8">
        <f t="shared" si="12"/>
        <v>5497.25</v>
      </c>
      <c r="G99" s="10">
        <f t="shared" si="13"/>
        <v>0</v>
      </c>
      <c r="H99" s="11">
        <f t="shared" si="14"/>
        <v>172.44873250000001</v>
      </c>
      <c r="I99" s="11">
        <f t="shared" si="15"/>
        <v>0</v>
      </c>
      <c r="J99" s="11">
        <f t="shared" si="16"/>
        <v>150.62465</v>
      </c>
      <c r="K99" s="11">
        <f t="shared" si="17"/>
        <v>0</v>
      </c>
      <c r="L99" s="11">
        <f t="shared" si="18"/>
        <v>125.3373</v>
      </c>
      <c r="M99" s="11">
        <f t="shared" si="19"/>
        <v>0</v>
      </c>
      <c r="N99" s="11">
        <f t="shared" si="20"/>
        <v>112.1439</v>
      </c>
      <c r="O99" s="11">
        <f t="shared" si="21"/>
        <v>0</v>
      </c>
      <c r="P99" s="11">
        <f t="shared" si="22"/>
        <v>101.699125</v>
      </c>
      <c r="Q99" s="11">
        <f t="shared" si="23"/>
        <v>0</v>
      </c>
      <c r="R99" s="531"/>
      <c r="S99" s="415"/>
    </row>
    <row r="100" spans="1:19" s="180" customFormat="1" ht="13.5" thickBot="1">
      <c r="A100" s="1320"/>
      <c r="B100" s="416"/>
      <c r="C100" s="419" t="s">
        <v>4010</v>
      </c>
      <c r="D100" s="420" t="s">
        <v>4011</v>
      </c>
      <c r="E100" s="889">
        <v>25370</v>
      </c>
      <c r="F100" s="8">
        <f t="shared" si="12"/>
        <v>13953.500000000002</v>
      </c>
      <c r="G100" s="10">
        <f t="shared" si="13"/>
        <v>0</v>
      </c>
      <c r="H100" s="11">
        <f t="shared" si="14"/>
        <v>437.72129500000011</v>
      </c>
      <c r="I100" s="11">
        <f t="shared" si="15"/>
        <v>0</v>
      </c>
      <c r="J100" s="11">
        <f t="shared" si="16"/>
        <v>382.32590000000005</v>
      </c>
      <c r="K100" s="11">
        <f t="shared" si="17"/>
        <v>0</v>
      </c>
      <c r="L100" s="11">
        <f t="shared" si="18"/>
        <v>318.13980000000004</v>
      </c>
      <c r="M100" s="11">
        <f t="shared" si="19"/>
        <v>0</v>
      </c>
      <c r="N100" s="11">
        <f t="shared" si="20"/>
        <v>284.65140000000008</v>
      </c>
      <c r="O100" s="11">
        <f t="shared" si="21"/>
        <v>0</v>
      </c>
      <c r="P100" s="11">
        <f t="shared" si="22"/>
        <v>258.13975000000005</v>
      </c>
      <c r="Q100" s="11">
        <f t="shared" si="23"/>
        <v>0</v>
      </c>
      <c r="R100" s="531"/>
      <c r="S100" s="415"/>
    </row>
    <row r="101" spans="1:19" s="180" customFormat="1" ht="13.5" thickBot="1">
      <c r="A101" s="1320"/>
      <c r="B101" s="416"/>
      <c r="C101" s="419" t="s">
        <v>4012</v>
      </c>
      <c r="D101" s="420" t="s">
        <v>4013</v>
      </c>
      <c r="E101" s="889">
        <v>35218.26</v>
      </c>
      <c r="F101" s="8">
        <f t="shared" si="12"/>
        <v>19370.043000000001</v>
      </c>
      <c r="G101" s="10">
        <f t="shared" si="13"/>
        <v>0</v>
      </c>
      <c r="H101" s="11">
        <f t="shared" si="14"/>
        <v>607.63824891000013</v>
      </c>
      <c r="I101" s="11">
        <f t="shared" si="15"/>
        <v>0</v>
      </c>
      <c r="J101" s="11">
        <f t="shared" si="16"/>
        <v>530.73917820000008</v>
      </c>
      <c r="K101" s="11">
        <f t="shared" si="17"/>
        <v>0</v>
      </c>
      <c r="L101" s="11">
        <f t="shared" si="18"/>
        <v>441.63698040000003</v>
      </c>
      <c r="M101" s="11">
        <f t="shared" si="19"/>
        <v>0</v>
      </c>
      <c r="N101" s="11">
        <f t="shared" si="20"/>
        <v>395.14887720000007</v>
      </c>
      <c r="O101" s="11">
        <f t="shared" si="21"/>
        <v>0</v>
      </c>
      <c r="P101" s="11">
        <f t="shared" si="22"/>
        <v>358.34579550000001</v>
      </c>
      <c r="Q101" s="11">
        <f t="shared" si="23"/>
        <v>0</v>
      </c>
      <c r="R101" s="531"/>
      <c r="S101" s="415"/>
    </row>
    <row r="102" spans="1:19" s="180" customFormat="1" ht="13.5" thickBot="1">
      <c r="A102" s="1320"/>
      <c r="B102" s="416"/>
      <c r="C102" s="419" t="s">
        <v>4014</v>
      </c>
      <c r="D102" s="420" t="s">
        <v>4015</v>
      </c>
      <c r="E102" s="889">
        <v>1103.6099999999999</v>
      </c>
      <c r="F102" s="8">
        <f t="shared" si="12"/>
        <v>606.9855</v>
      </c>
      <c r="G102" s="10">
        <f t="shared" si="13"/>
        <v>0</v>
      </c>
      <c r="H102" s="11">
        <f t="shared" si="14"/>
        <v>19.041135135000001</v>
      </c>
      <c r="I102" s="11">
        <f t="shared" si="15"/>
        <v>0</v>
      </c>
      <c r="J102" s="11">
        <f t="shared" si="16"/>
        <v>16.631402699999999</v>
      </c>
      <c r="K102" s="11">
        <f t="shared" si="17"/>
        <v>0</v>
      </c>
      <c r="L102" s="11">
        <f t="shared" si="18"/>
        <v>13.839269400000001</v>
      </c>
      <c r="M102" s="11">
        <f t="shared" si="19"/>
        <v>0</v>
      </c>
      <c r="N102" s="11">
        <f t="shared" si="20"/>
        <v>12.382504200000001</v>
      </c>
      <c r="O102" s="11">
        <f t="shared" si="21"/>
        <v>0</v>
      </c>
      <c r="P102" s="11">
        <f t="shared" si="22"/>
        <v>11.22923175</v>
      </c>
      <c r="Q102" s="11">
        <f t="shared" si="23"/>
        <v>0</v>
      </c>
      <c r="R102" s="531"/>
      <c r="S102" s="415"/>
    </row>
    <row r="103" spans="1:19" s="180" customFormat="1" ht="13.5" thickBot="1">
      <c r="A103" s="1320"/>
      <c r="B103" s="416"/>
      <c r="C103" s="419" t="s">
        <v>3988</v>
      </c>
      <c r="D103" s="420" t="s">
        <v>1309</v>
      </c>
      <c r="E103" s="889">
        <v>10395</v>
      </c>
      <c r="F103" s="8">
        <v>741.40000000000009</v>
      </c>
      <c r="G103" s="10">
        <v>0</v>
      </c>
      <c r="H103" s="11">
        <f t="shared" si="14"/>
        <v>23.257718000000004</v>
      </c>
      <c r="I103" s="11">
        <f t="shared" si="15"/>
        <v>0</v>
      </c>
      <c r="J103" s="11">
        <f t="shared" si="16"/>
        <v>20.314360000000004</v>
      </c>
      <c r="K103" s="11">
        <f t="shared" si="17"/>
        <v>0</v>
      </c>
      <c r="L103" s="11">
        <f t="shared" si="18"/>
        <v>16.903920000000003</v>
      </c>
      <c r="M103" s="11">
        <f t="shared" si="19"/>
        <v>0</v>
      </c>
      <c r="N103" s="11">
        <f t="shared" si="20"/>
        <v>15.124560000000002</v>
      </c>
      <c r="O103" s="11">
        <f t="shared" si="21"/>
        <v>0</v>
      </c>
      <c r="P103" s="11">
        <f t="shared" si="22"/>
        <v>13.715900000000001</v>
      </c>
      <c r="Q103" s="11">
        <f t="shared" si="23"/>
        <v>0</v>
      </c>
      <c r="R103" s="531"/>
      <c r="S103" s="415"/>
    </row>
    <row r="104" spans="1:19" s="180" customFormat="1" ht="13.5" thickBot="1">
      <c r="A104" s="1320"/>
      <c r="B104" s="416"/>
      <c r="C104" s="419" t="s">
        <v>1346</v>
      </c>
      <c r="D104" s="420" t="s">
        <v>4097</v>
      </c>
      <c r="E104" s="889">
        <v>7969.5</v>
      </c>
      <c r="F104" s="8">
        <f t="shared" ref="F104:F163" si="24">E104*(1-45%)</f>
        <v>4383.2250000000004</v>
      </c>
      <c r="G104" s="10">
        <f t="shared" ref="G104:G163" si="25">F104*B104</f>
        <v>0</v>
      </c>
      <c r="H104" s="11">
        <f t="shared" si="14"/>
        <v>137.50176825000003</v>
      </c>
      <c r="I104" s="11">
        <f t="shared" si="15"/>
        <v>0</v>
      </c>
      <c r="J104" s="11">
        <f t="shared" si="16"/>
        <v>120.10036500000001</v>
      </c>
      <c r="K104" s="11">
        <f t="shared" si="17"/>
        <v>0</v>
      </c>
      <c r="L104" s="11">
        <f t="shared" si="18"/>
        <v>99.93753000000001</v>
      </c>
      <c r="M104" s="11">
        <f t="shared" si="19"/>
        <v>0</v>
      </c>
      <c r="N104" s="11">
        <f t="shared" si="20"/>
        <v>89.417790000000011</v>
      </c>
      <c r="O104" s="11">
        <f t="shared" si="21"/>
        <v>0</v>
      </c>
      <c r="P104" s="11">
        <f t="shared" si="22"/>
        <v>81.089662500000003</v>
      </c>
      <c r="Q104" s="11">
        <f t="shared" si="23"/>
        <v>0</v>
      </c>
      <c r="R104" s="531"/>
      <c r="S104" s="415"/>
    </row>
    <row r="105" spans="1:19" s="180" customFormat="1" ht="13.5" thickBot="1">
      <c r="A105" s="1320"/>
      <c r="B105" s="416"/>
      <c r="C105" s="419" t="s">
        <v>1311</v>
      </c>
      <c r="D105" s="420" t="s">
        <v>1154</v>
      </c>
      <c r="E105" s="889">
        <v>2061.2600000000002</v>
      </c>
      <c r="F105" s="8">
        <f t="shared" si="24"/>
        <v>1133.6930000000002</v>
      </c>
      <c r="G105" s="10">
        <f t="shared" si="25"/>
        <v>0</v>
      </c>
      <c r="H105" s="11">
        <f t="shared" si="14"/>
        <v>35.563949410000006</v>
      </c>
      <c r="I105" s="11">
        <f t="shared" si="15"/>
        <v>0</v>
      </c>
      <c r="J105" s="11">
        <f t="shared" si="16"/>
        <v>31.063188200000006</v>
      </c>
      <c r="K105" s="11">
        <f t="shared" si="17"/>
        <v>0</v>
      </c>
      <c r="L105" s="11">
        <f t="shared" si="18"/>
        <v>25.848200400000007</v>
      </c>
      <c r="M105" s="11">
        <f t="shared" si="19"/>
        <v>0</v>
      </c>
      <c r="N105" s="11">
        <f t="shared" si="20"/>
        <v>23.127337200000007</v>
      </c>
      <c r="O105" s="11">
        <f t="shared" si="21"/>
        <v>0</v>
      </c>
      <c r="P105" s="11">
        <f t="shared" si="22"/>
        <v>20.973320500000003</v>
      </c>
      <c r="Q105" s="11">
        <f t="shared" si="23"/>
        <v>0</v>
      </c>
      <c r="R105" s="531"/>
      <c r="S105" s="415"/>
    </row>
    <row r="106" spans="1:19" s="180" customFormat="1" ht="13.5" thickBot="1">
      <c r="A106" s="1320"/>
      <c r="B106" s="416"/>
      <c r="C106" s="419" t="s">
        <v>1219</v>
      </c>
      <c r="D106" s="420" t="s">
        <v>1220</v>
      </c>
      <c r="E106" s="889">
        <v>23783.759999999998</v>
      </c>
      <c r="F106" s="8">
        <f t="shared" si="24"/>
        <v>13081.067999999999</v>
      </c>
      <c r="G106" s="10">
        <f t="shared" si="25"/>
        <v>0</v>
      </c>
      <c r="H106" s="11">
        <f t="shared" si="14"/>
        <v>410.35310315999999</v>
      </c>
      <c r="I106" s="11">
        <f t="shared" si="15"/>
        <v>0</v>
      </c>
      <c r="J106" s="11">
        <f t="shared" si="16"/>
        <v>358.4212632</v>
      </c>
      <c r="K106" s="11">
        <f t="shared" si="17"/>
        <v>0</v>
      </c>
      <c r="L106" s="11">
        <f t="shared" si="18"/>
        <v>298.24835039999999</v>
      </c>
      <c r="M106" s="11">
        <f t="shared" si="19"/>
        <v>0</v>
      </c>
      <c r="N106" s="11">
        <f t="shared" si="20"/>
        <v>266.8537872</v>
      </c>
      <c r="O106" s="11">
        <f t="shared" si="21"/>
        <v>0</v>
      </c>
      <c r="P106" s="11">
        <f t="shared" si="22"/>
        <v>241.99975799999999</v>
      </c>
      <c r="Q106" s="11">
        <f t="shared" si="23"/>
        <v>0</v>
      </c>
      <c r="R106" s="531"/>
      <c r="S106" s="415"/>
    </row>
    <row r="107" spans="1:19" s="180" customFormat="1" ht="13.5" thickBot="1">
      <c r="A107" s="1320"/>
      <c r="B107" s="416"/>
      <c r="C107" s="419" t="s">
        <v>1221</v>
      </c>
      <c r="D107" s="420" t="s">
        <v>1222</v>
      </c>
      <c r="E107" s="889">
        <v>1479.88</v>
      </c>
      <c r="F107" s="8">
        <f t="shared" si="24"/>
        <v>813.93400000000008</v>
      </c>
      <c r="G107" s="10">
        <f t="shared" si="25"/>
        <v>0</v>
      </c>
      <c r="H107" s="11">
        <f t="shared" si="14"/>
        <v>25.533109580000005</v>
      </c>
      <c r="I107" s="11">
        <f t="shared" si="15"/>
        <v>0</v>
      </c>
      <c r="J107" s="11">
        <f t="shared" si="16"/>
        <v>22.301791600000001</v>
      </c>
      <c r="K107" s="11">
        <f t="shared" si="17"/>
        <v>0</v>
      </c>
      <c r="L107" s="11">
        <f t="shared" si="18"/>
        <v>18.557695200000001</v>
      </c>
      <c r="M107" s="11">
        <f t="shared" si="19"/>
        <v>0</v>
      </c>
      <c r="N107" s="11">
        <f t="shared" si="20"/>
        <v>16.604253600000003</v>
      </c>
      <c r="O107" s="11">
        <f t="shared" si="21"/>
        <v>0</v>
      </c>
      <c r="P107" s="11">
        <f t="shared" si="22"/>
        <v>15.057779</v>
      </c>
      <c r="Q107" s="11">
        <f t="shared" si="23"/>
        <v>0</v>
      </c>
      <c r="R107" s="531"/>
      <c r="S107" s="415"/>
    </row>
    <row r="108" spans="1:19" s="180" customFormat="1" ht="13.5" thickBot="1">
      <c r="A108" s="1320"/>
      <c r="B108" s="416"/>
      <c r="C108" s="417" t="s">
        <v>3992</v>
      </c>
      <c r="D108" s="418" t="s">
        <v>3993</v>
      </c>
      <c r="E108" s="889">
        <v>1100</v>
      </c>
      <c r="F108" s="8">
        <f t="shared" si="24"/>
        <v>605</v>
      </c>
      <c r="G108" s="10">
        <f t="shared" si="25"/>
        <v>0</v>
      </c>
      <c r="H108" s="11">
        <f t="shared" si="14"/>
        <v>18.978850000000001</v>
      </c>
      <c r="I108" s="11">
        <f t="shared" si="15"/>
        <v>0</v>
      </c>
      <c r="J108" s="11">
        <f t="shared" si="16"/>
        <v>16.577000000000002</v>
      </c>
      <c r="K108" s="11">
        <f t="shared" si="17"/>
        <v>0</v>
      </c>
      <c r="L108" s="11">
        <f t="shared" si="18"/>
        <v>13.794</v>
      </c>
      <c r="M108" s="11">
        <f t="shared" si="19"/>
        <v>0</v>
      </c>
      <c r="N108" s="11">
        <f t="shared" si="20"/>
        <v>12.342000000000001</v>
      </c>
      <c r="O108" s="11">
        <f t="shared" si="21"/>
        <v>0</v>
      </c>
      <c r="P108" s="11">
        <f t="shared" si="22"/>
        <v>11.192499999999999</v>
      </c>
      <c r="Q108" s="11">
        <f t="shared" si="23"/>
        <v>0</v>
      </c>
      <c r="R108" s="531"/>
      <c r="S108" s="415"/>
    </row>
    <row r="109" spans="1:19" s="180" customFormat="1" ht="13.5" thickBot="1">
      <c r="A109" s="1320"/>
      <c r="B109" s="416"/>
      <c r="C109" s="417" t="s">
        <v>3994</v>
      </c>
      <c r="D109" s="952" t="s">
        <v>3995</v>
      </c>
      <c r="E109" s="889">
        <v>1100</v>
      </c>
      <c r="F109" s="8">
        <f t="shared" si="24"/>
        <v>605</v>
      </c>
      <c r="G109" s="10">
        <f t="shared" si="25"/>
        <v>0</v>
      </c>
      <c r="H109" s="11">
        <f t="shared" si="14"/>
        <v>18.978850000000001</v>
      </c>
      <c r="I109" s="11">
        <f t="shared" si="15"/>
        <v>0</v>
      </c>
      <c r="J109" s="11">
        <f t="shared" si="16"/>
        <v>16.577000000000002</v>
      </c>
      <c r="K109" s="11">
        <f t="shared" si="17"/>
        <v>0</v>
      </c>
      <c r="L109" s="11">
        <f t="shared" si="18"/>
        <v>13.794</v>
      </c>
      <c r="M109" s="11">
        <f t="shared" si="19"/>
        <v>0</v>
      </c>
      <c r="N109" s="11">
        <f t="shared" si="20"/>
        <v>12.342000000000001</v>
      </c>
      <c r="O109" s="11">
        <f t="shared" si="21"/>
        <v>0</v>
      </c>
      <c r="P109" s="11">
        <f t="shared" si="22"/>
        <v>11.192499999999999</v>
      </c>
      <c r="Q109" s="11">
        <f t="shared" si="23"/>
        <v>0</v>
      </c>
      <c r="R109" s="531"/>
      <c r="S109" s="415"/>
    </row>
    <row r="110" spans="1:19" s="180" customFormat="1" ht="13.5" thickBot="1">
      <c r="A110" s="1320"/>
      <c r="B110" s="416"/>
      <c r="C110" s="417" t="s">
        <v>3996</v>
      </c>
      <c r="D110" s="418" t="s">
        <v>3997</v>
      </c>
      <c r="E110" s="889">
        <v>550</v>
      </c>
      <c r="F110" s="8">
        <f t="shared" si="24"/>
        <v>302.5</v>
      </c>
      <c r="G110" s="10">
        <f t="shared" si="25"/>
        <v>0</v>
      </c>
      <c r="H110" s="11">
        <f t="shared" si="14"/>
        <v>9.4894250000000007</v>
      </c>
      <c r="I110" s="11">
        <f t="shared" si="15"/>
        <v>0</v>
      </c>
      <c r="J110" s="11">
        <f t="shared" si="16"/>
        <v>8.2885000000000009</v>
      </c>
      <c r="K110" s="11">
        <f t="shared" si="17"/>
        <v>0</v>
      </c>
      <c r="L110" s="11">
        <f t="shared" si="18"/>
        <v>6.8970000000000002</v>
      </c>
      <c r="M110" s="11">
        <f t="shared" si="19"/>
        <v>0</v>
      </c>
      <c r="N110" s="11">
        <f t="shared" si="20"/>
        <v>6.1710000000000003</v>
      </c>
      <c r="O110" s="11">
        <f t="shared" si="21"/>
        <v>0</v>
      </c>
      <c r="P110" s="11">
        <f t="shared" si="22"/>
        <v>5.5962499999999995</v>
      </c>
      <c r="Q110" s="11">
        <f t="shared" si="23"/>
        <v>0</v>
      </c>
      <c r="R110" s="531"/>
      <c r="S110" s="415"/>
    </row>
    <row r="111" spans="1:19" s="180" customFormat="1" ht="13.5" thickBot="1">
      <c r="A111" s="1320"/>
      <c r="B111" s="416"/>
      <c r="C111" s="417" t="s">
        <v>1223</v>
      </c>
      <c r="D111" s="418" t="s">
        <v>1224</v>
      </c>
      <c r="E111" s="889">
        <v>1177.18</v>
      </c>
      <c r="F111" s="8">
        <f t="shared" si="24"/>
        <v>647.44900000000007</v>
      </c>
      <c r="G111" s="10">
        <f t="shared" si="25"/>
        <v>0</v>
      </c>
      <c r="H111" s="11">
        <f t="shared" si="14"/>
        <v>20.310475130000004</v>
      </c>
      <c r="I111" s="11">
        <f t="shared" si="15"/>
        <v>0</v>
      </c>
      <c r="J111" s="11">
        <f t="shared" si="16"/>
        <v>17.740102600000004</v>
      </c>
      <c r="K111" s="11">
        <f t="shared" si="17"/>
        <v>0</v>
      </c>
      <c r="L111" s="11">
        <f t="shared" si="18"/>
        <v>14.761837200000002</v>
      </c>
      <c r="M111" s="11">
        <f t="shared" si="19"/>
        <v>0</v>
      </c>
      <c r="N111" s="11">
        <f t="shared" si="20"/>
        <v>13.207959600000002</v>
      </c>
      <c r="O111" s="11">
        <f t="shared" si="21"/>
        <v>0</v>
      </c>
      <c r="P111" s="11">
        <f t="shared" si="22"/>
        <v>11.9778065</v>
      </c>
      <c r="Q111" s="11">
        <f t="shared" si="23"/>
        <v>0</v>
      </c>
      <c r="R111" s="531"/>
      <c r="S111" s="415"/>
    </row>
    <row r="112" spans="1:19" s="180" customFormat="1" ht="13.5" thickBot="1">
      <c r="A112" s="1320"/>
      <c r="B112" s="416"/>
      <c r="C112" s="417" t="s">
        <v>1225</v>
      </c>
      <c r="D112" s="418" t="s">
        <v>1226</v>
      </c>
      <c r="E112" s="889">
        <v>27684.06</v>
      </c>
      <c r="F112" s="8">
        <f t="shared" si="24"/>
        <v>15226.233000000002</v>
      </c>
      <c r="G112" s="10">
        <f t="shared" si="25"/>
        <v>0</v>
      </c>
      <c r="H112" s="11">
        <f t="shared" si="14"/>
        <v>477.64692921000011</v>
      </c>
      <c r="I112" s="11">
        <f t="shared" si="15"/>
        <v>0</v>
      </c>
      <c r="J112" s="11">
        <f t="shared" si="16"/>
        <v>417.19878420000009</v>
      </c>
      <c r="K112" s="11">
        <f t="shared" si="17"/>
        <v>0</v>
      </c>
      <c r="L112" s="11">
        <f t="shared" si="18"/>
        <v>347.15811240000005</v>
      </c>
      <c r="M112" s="11">
        <f t="shared" si="19"/>
        <v>0</v>
      </c>
      <c r="N112" s="11">
        <f t="shared" si="20"/>
        <v>310.61515320000007</v>
      </c>
      <c r="O112" s="11">
        <f t="shared" si="21"/>
        <v>0</v>
      </c>
      <c r="P112" s="11">
        <f t="shared" si="22"/>
        <v>281.68531050000001</v>
      </c>
      <c r="Q112" s="11">
        <f t="shared" si="23"/>
        <v>0</v>
      </c>
      <c r="R112" s="531"/>
      <c r="S112" s="415"/>
    </row>
    <row r="113" spans="1:19" s="180" customFormat="1" ht="13.5" thickBot="1">
      <c r="A113" s="1320"/>
      <c r="B113" s="416"/>
      <c r="C113" s="419" t="s">
        <v>1313</v>
      </c>
      <c r="D113" s="420" t="s">
        <v>1314</v>
      </c>
      <c r="E113" s="889">
        <v>4706.3</v>
      </c>
      <c r="F113" s="8">
        <f t="shared" si="24"/>
        <v>2588.4650000000001</v>
      </c>
      <c r="G113" s="10">
        <f t="shared" si="25"/>
        <v>0</v>
      </c>
      <c r="H113" s="11">
        <f t="shared" si="14"/>
        <v>81.200147050000012</v>
      </c>
      <c r="I113" s="11">
        <f t="shared" si="15"/>
        <v>0</v>
      </c>
      <c r="J113" s="11">
        <f t="shared" si="16"/>
        <v>70.923940999999999</v>
      </c>
      <c r="K113" s="11">
        <f t="shared" si="17"/>
        <v>0</v>
      </c>
      <c r="L113" s="11">
        <f t="shared" si="18"/>
        <v>59.017002000000005</v>
      </c>
      <c r="M113" s="11">
        <f t="shared" si="19"/>
        <v>0</v>
      </c>
      <c r="N113" s="11">
        <f t="shared" si="20"/>
        <v>52.804686000000004</v>
      </c>
      <c r="O113" s="11">
        <f t="shared" si="21"/>
        <v>0</v>
      </c>
      <c r="P113" s="11">
        <f t="shared" si="22"/>
        <v>47.886602500000002</v>
      </c>
      <c r="Q113" s="11">
        <f t="shared" si="23"/>
        <v>0</v>
      </c>
      <c r="R113" s="531"/>
      <c r="S113" s="415"/>
    </row>
    <row r="114" spans="1:19" s="180" customFormat="1" ht="13.5" thickBot="1">
      <c r="A114" s="1320"/>
      <c r="B114" s="416"/>
      <c r="C114" s="419" t="s">
        <v>1315</v>
      </c>
      <c r="D114" s="420" t="s">
        <v>1316</v>
      </c>
      <c r="E114" s="889">
        <v>7267.26</v>
      </c>
      <c r="F114" s="8">
        <f t="shared" si="24"/>
        <v>3996.9930000000004</v>
      </c>
      <c r="G114" s="10">
        <f t="shared" si="25"/>
        <v>0</v>
      </c>
      <c r="H114" s="11">
        <f t="shared" si="14"/>
        <v>125.38567041000002</v>
      </c>
      <c r="I114" s="11">
        <f t="shared" si="15"/>
        <v>0</v>
      </c>
      <c r="J114" s="11">
        <f t="shared" si="16"/>
        <v>109.51760820000001</v>
      </c>
      <c r="K114" s="11">
        <f t="shared" si="17"/>
        <v>0</v>
      </c>
      <c r="L114" s="11">
        <f t="shared" si="18"/>
        <v>91.131440400000017</v>
      </c>
      <c r="M114" s="11">
        <f t="shared" si="19"/>
        <v>0</v>
      </c>
      <c r="N114" s="11">
        <f t="shared" si="20"/>
        <v>81.538657200000017</v>
      </c>
      <c r="O114" s="11">
        <f t="shared" si="21"/>
        <v>0</v>
      </c>
      <c r="P114" s="11">
        <f t="shared" si="22"/>
        <v>73.944370500000005</v>
      </c>
      <c r="Q114" s="11">
        <f t="shared" si="23"/>
        <v>0</v>
      </c>
      <c r="R114" s="531"/>
      <c r="S114" s="415"/>
    </row>
    <row r="115" spans="1:19" s="180" customFormat="1" ht="13.5" thickBot="1">
      <c r="A115" s="1320"/>
      <c r="B115" s="416"/>
      <c r="C115" s="419" t="s">
        <v>1317</v>
      </c>
      <c r="D115" s="420" t="s">
        <v>1318</v>
      </c>
      <c r="E115" s="889">
        <v>5847.44</v>
      </c>
      <c r="F115" s="8">
        <f t="shared" si="24"/>
        <v>3216.0920000000001</v>
      </c>
      <c r="G115" s="10">
        <f t="shared" si="25"/>
        <v>0</v>
      </c>
      <c r="H115" s="11">
        <f t="shared" si="14"/>
        <v>100.88880604000001</v>
      </c>
      <c r="I115" s="11">
        <f t="shared" si="15"/>
        <v>0</v>
      </c>
      <c r="J115" s="11">
        <f t="shared" si="16"/>
        <v>88.120920800000007</v>
      </c>
      <c r="K115" s="11">
        <f t="shared" si="17"/>
        <v>0</v>
      </c>
      <c r="L115" s="11">
        <f t="shared" si="18"/>
        <v>73.326897600000009</v>
      </c>
      <c r="M115" s="11">
        <f t="shared" si="19"/>
        <v>0</v>
      </c>
      <c r="N115" s="11">
        <f t="shared" si="20"/>
        <v>65.608276800000013</v>
      </c>
      <c r="O115" s="11">
        <f t="shared" si="21"/>
        <v>0</v>
      </c>
      <c r="P115" s="11">
        <f t="shared" si="22"/>
        <v>59.497701999999997</v>
      </c>
      <c r="Q115" s="11">
        <f t="shared" si="23"/>
        <v>0</v>
      </c>
      <c r="R115" s="531"/>
      <c r="S115" s="415"/>
    </row>
    <row r="116" spans="1:19" s="180" customFormat="1" ht="13.5" thickBot="1">
      <c r="A116" s="1320"/>
      <c r="B116" s="416"/>
      <c r="C116" s="417" t="s">
        <v>1319</v>
      </c>
      <c r="D116" s="418" t="s">
        <v>1320</v>
      </c>
      <c r="E116" s="889">
        <v>769.97</v>
      </c>
      <c r="F116" s="8">
        <f t="shared" si="24"/>
        <v>423.48350000000005</v>
      </c>
      <c r="G116" s="10">
        <f t="shared" si="25"/>
        <v>0</v>
      </c>
      <c r="H116" s="11">
        <f t="shared" si="14"/>
        <v>13.284677395000003</v>
      </c>
      <c r="I116" s="11">
        <f t="shared" si="15"/>
        <v>0</v>
      </c>
      <c r="J116" s="11">
        <f t="shared" si="16"/>
        <v>11.603447900000001</v>
      </c>
      <c r="K116" s="11">
        <f t="shared" si="17"/>
        <v>0</v>
      </c>
      <c r="L116" s="11">
        <f t="shared" si="18"/>
        <v>9.6554238000000012</v>
      </c>
      <c r="M116" s="11">
        <f t="shared" si="19"/>
        <v>0</v>
      </c>
      <c r="N116" s="11">
        <f t="shared" si="20"/>
        <v>8.6390634000000013</v>
      </c>
      <c r="O116" s="11">
        <f t="shared" si="21"/>
        <v>0</v>
      </c>
      <c r="P116" s="11">
        <f t="shared" si="22"/>
        <v>7.8344447500000003</v>
      </c>
      <c r="Q116" s="11">
        <f t="shared" si="23"/>
        <v>0</v>
      </c>
      <c r="R116" s="531"/>
      <c r="S116" s="415"/>
    </row>
    <row r="117" spans="1:19" s="180" customFormat="1" ht="13.5" thickBot="1">
      <c r="A117" s="1320"/>
      <c r="B117" s="416"/>
      <c r="C117" s="419" t="s">
        <v>1138</v>
      </c>
      <c r="D117" s="420" t="s">
        <v>1139</v>
      </c>
      <c r="E117" s="889">
        <v>588.59</v>
      </c>
      <c r="F117" s="8">
        <f t="shared" si="24"/>
        <v>323.72450000000003</v>
      </c>
      <c r="G117" s="10">
        <f t="shared" si="25"/>
        <v>0</v>
      </c>
      <c r="H117" s="11">
        <f t="shared" si="14"/>
        <v>10.155237565000002</v>
      </c>
      <c r="I117" s="11">
        <f t="shared" si="15"/>
        <v>0</v>
      </c>
      <c r="J117" s="11">
        <f t="shared" si="16"/>
        <v>8.8700513000000019</v>
      </c>
      <c r="K117" s="11">
        <f t="shared" si="17"/>
        <v>0</v>
      </c>
      <c r="L117" s="11">
        <f t="shared" si="18"/>
        <v>7.3809186000000011</v>
      </c>
      <c r="M117" s="11">
        <f t="shared" si="19"/>
        <v>0</v>
      </c>
      <c r="N117" s="11">
        <f t="shared" si="20"/>
        <v>6.6039798000000012</v>
      </c>
      <c r="O117" s="11">
        <f t="shared" si="21"/>
        <v>0</v>
      </c>
      <c r="P117" s="11">
        <f t="shared" si="22"/>
        <v>5.9889032499999999</v>
      </c>
      <c r="Q117" s="11">
        <f t="shared" si="23"/>
        <v>0</v>
      </c>
      <c r="R117" s="531"/>
      <c r="S117" s="415"/>
    </row>
    <row r="118" spans="1:19" s="180" customFormat="1" ht="13.5" thickBot="1">
      <c r="A118" s="1320"/>
      <c r="B118" s="416"/>
      <c r="C118" s="419" t="s">
        <v>1142</v>
      </c>
      <c r="D118" s="420" t="s">
        <v>1143</v>
      </c>
      <c r="E118" s="889">
        <v>1883.48</v>
      </c>
      <c r="F118" s="8">
        <f t="shared" si="24"/>
        <v>1035.914</v>
      </c>
      <c r="G118" s="10">
        <f t="shared" si="25"/>
        <v>0</v>
      </c>
      <c r="H118" s="11">
        <f t="shared" si="14"/>
        <v>32.496622180000003</v>
      </c>
      <c r="I118" s="11">
        <f t="shared" si="15"/>
        <v>0</v>
      </c>
      <c r="J118" s="11">
        <f t="shared" si="16"/>
        <v>28.384043600000002</v>
      </c>
      <c r="K118" s="11">
        <f t="shared" si="17"/>
        <v>0</v>
      </c>
      <c r="L118" s="11">
        <f t="shared" si="18"/>
        <v>23.6188392</v>
      </c>
      <c r="M118" s="11">
        <f t="shared" si="19"/>
        <v>0</v>
      </c>
      <c r="N118" s="11">
        <f t="shared" si="20"/>
        <v>21.1326456</v>
      </c>
      <c r="O118" s="11">
        <f t="shared" si="21"/>
        <v>0</v>
      </c>
      <c r="P118" s="11">
        <f t="shared" si="22"/>
        <v>19.164408999999999</v>
      </c>
      <c r="Q118" s="11">
        <f t="shared" si="23"/>
        <v>0</v>
      </c>
      <c r="R118" s="531"/>
      <c r="S118" s="415"/>
    </row>
    <row r="119" spans="1:19" s="180" customFormat="1" ht="13.5" thickBot="1">
      <c r="A119" s="1320"/>
      <c r="B119" s="416"/>
      <c r="C119" s="417" t="s">
        <v>1321</v>
      </c>
      <c r="D119" s="418" t="s">
        <v>1322</v>
      </c>
      <c r="E119" s="889">
        <v>792.79</v>
      </c>
      <c r="F119" s="8">
        <f t="shared" si="24"/>
        <v>436.03450000000004</v>
      </c>
      <c r="G119" s="10">
        <f t="shared" si="25"/>
        <v>0</v>
      </c>
      <c r="H119" s="11">
        <f t="shared" si="14"/>
        <v>13.678402265000003</v>
      </c>
      <c r="I119" s="11">
        <f t="shared" si="15"/>
        <v>0</v>
      </c>
      <c r="J119" s="11">
        <f t="shared" si="16"/>
        <v>11.947345300000002</v>
      </c>
      <c r="K119" s="11">
        <f t="shared" si="17"/>
        <v>0</v>
      </c>
      <c r="L119" s="11">
        <f t="shared" si="18"/>
        <v>9.9415866000000008</v>
      </c>
      <c r="M119" s="11">
        <f t="shared" si="19"/>
        <v>0</v>
      </c>
      <c r="N119" s="11">
        <f t="shared" si="20"/>
        <v>8.8951038000000011</v>
      </c>
      <c r="O119" s="11">
        <f t="shared" si="21"/>
        <v>0</v>
      </c>
      <c r="P119" s="11">
        <f t="shared" si="22"/>
        <v>8.0666382500000005</v>
      </c>
      <c r="Q119" s="11">
        <f t="shared" si="23"/>
        <v>0</v>
      </c>
      <c r="R119" s="531"/>
      <c r="S119" s="415"/>
    </row>
    <row r="120" spans="1:19" s="180" customFormat="1" ht="13.5" thickBot="1">
      <c r="A120" s="1320"/>
      <c r="B120" s="416"/>
      <c r="C120" s="419" t="s">
        <v>1323</v>
      </c>
      <c r="D120" s="420" t="s">
        <v>1324</v>
      </c>
      <c r="E120" s="889">
        <v>647.45000000000005</v>
      </c>
      <c r="F120" s="8">
        <f t="shared" si="24"/>
        <v>356.09750000000008</v>
      </c>
      <c r="G120" s="10">
        <f t="shared" si="25"/>
        <v>0</v>
      </c>
      <c r="H120" s="11">
        <f t="shared" si="14"/>
        <v>11.170778575000003</v>
      </c>
      <c r="I120" s="11">
        <f t="shared" si="15"/>
        <v>0</v>
      </c>
      <c r="J120" s="11">
        <f t="shared" si="16"/>
        <v>9.7570715000000021</v>
      </c>
      <c r="K120" s="11">
        <f t="shared" si="17"/>
        <v>0</v>
      </c>
      <c r="L120" s="11">
        <f t="shared" si="18"/>
        <v>8.1190230000000021</v>
      </c>
      <c r="M120" s="11">
        <f t="shared" si="19"/>
        <v>0</v>
      </c>
      <c r="N120" s="11">
        <f t="shared" si="20"/>
        <v>7.2643890000000022</v>
      </c>
      <c r="O120" s="11">
        <f t="shared" si="21"/>
        <v>0</v>
      </c>
      <c r="P120" s="11">
        <f t="shared" si="22"/>
        <v>6.5878037500000008</v>
      </c>
      <c r="Q120" s="11">
        <f t="shared" si="23"/>
        <v>0</v>
      </c>
      <c r="R120" s="531"/>
      <c r="S120" s="415"/>
    </row>
    <row r="121" spans="1:19" s="180" customFormat="1" ht="13.5" thickBot="1">
      <c r="A121" s="1320"/>
      <c r="B121" s="416"/>
      <c r="C121" s="419" t="s">
        <v>1325</v>
      </c>
      <c r="D121" s="420" t="s">
        <v>1326</v>
      </c>
      <c r="E121" s="889">
        <v>1017.42</v>
      </c>
      <c r="F121" s="8">
        <f t="shared" si="24"/>
        <v>559.58100000000002</v>
      </c>
      <c r="G121" s="10">
        <f t="shared" si="25"/>
        <v>0</v>
      </c>
      <c r="H121" s="11">
        <f t="shared" si="14"/>
        <v>17.55405597</v>
      </c>
      <c r="I121" s="11">
        <f t="shared" si="15"/>
        <v>0</v>
      </c>
      <c r="J121" s="11">
        <f t="shared" si="16"/>
        <v>15.332519400000001</v>
      </c>
      <c r="K121" s="11">
        <f t="shared" si="17"/>
        <v>0</v>
      </c>
      <c r="L121" s="11">
        <f t="shared" si="18"/>
        <v>12.758446800000002</v>
      </c>
      <c r="M121" s="11">
        <f t="shared" si="19"/>
        <v>0</v>
      </c>
      <c r="N121" s="11">
        <f t="shared" si="20"/>
        <v>11.415452400000001</v>
      </c>
      <c r="O121" s="11">
        <f t="shared" si="21"/>
        <v>0</v>
      </c>
      <c r="P121" s="11">
        <f t="shared" si="22"/>
        <v>10.3522485</v>
      </c>
      <c r="Q121" s="11">
        <f t="shared" si="23"/>
        <v>0</v>
      </c>
      <c r="R121" s="531"/>
      <c r="S121" s="415"/>
    </row>
    <row r="122" spans="1:19" s="180" customFormat="1" ht="13.5" thickBot="1">
      <c r="A122" s="1320"/>
      <c r="B122" s="416"/>
      <c r="C122" s="419" t="s">
        <v>1347</v>
      </c>
      <c r="D122" s="420" t="s">
        <v>1348</v>
      </c>
      <c r="E122" s="889">
        <v>5541.13</v>
      </c>
      <c r="F122" s="8">
        <f t="shared" si="24"/>
        <v>3047.6215000000002</v>
      </c>
      <c r="G122" s="10">
        <f t="shared" si="25"/>
        <v>0</v>
      </c>
      <c r="H122" s="11">
        <f t="shared" si="14"/>
        <v>95.603886455000008</v>
      </c>
      <c r="I122" s="11">
        <f t="shared" si="15"/>
        <v>0</v>
      </c>
      <c r="J122" s="11">
        <f t="shared" si="16"/>
        <v>83.504829100000009</v>
      </c>
      <c r="K122" s="11">
        <f t="shared" si="17"/>
        <v>0</v>
      </c>
      <c r="L122" s="11">
        <f t="shared" si="18"/>
        <v>69.485770200000005</v>
      </c>
      <c r="M122" s="11">
        <f t="shared" si="19"/>
        <v>0</v>
      </c>
      <c r="N122" s="11">
        <f t="shared" si="20"/>
        <v>62.171478600000007</v>
      </c>
      <c r="O122" s="11">
        <f t="shared" si="21"/>
        <v>0</v>
      </c>
      <c r="P122" s="11">
        <f t="shared" si="22"/>
        <v>56.380997749999999</v>
      </c>
      <c r="Q122" s="11">
        <f t="shared" si="23"/>
        <v>0</v>
      </c>
      <c r="R122" s="531"/>
      <c r="S122" s="415"/>
    </row>
    <row r="123" spans="1:19" s="180" customFormat="1" ht="13.5" thickBot="1">
      <c r="A123" s="1320"/>
      <c r="B123" s="416"/>
      <c r="C123" s="417" t="s">
        <v>1229</v>
      </c>
      <c r="D123" s="418" t="s">
        <v>1230</v>
      </c>
      <c r="E123" s="889">
        <v>4436.03</v>
      </c>
      <c r="F123" s="8">
        <f t="shared" si="24"/>
        <v>2439.8164999999999</v>
      </c>
      <c r="G123" s="10">
        <f t="shared" si="25"/>
        <v>0</v>
      </c>
      <c r="H123" s="11">
        <f t="shared" si="14"/>
        <v>76.537043605000008</v>
      </c>
      <c r="I123" s="11">
        <f t="shared" si="15"/>
        <v>0</v>
      </c>
      <c r="J123" s="11">
        <f t="shared" si="16"/>
        <v>66.850972099999993</v>
      </c>
      <c r="K123" s="11">
        <f t="shared" si="17"/>
        <v>0</v>
      </c>
      <c r="L123" s="11">
        <f t="shared" si="18"/>
        <v>55.627816199999998</v>
      </c>
      <c r="M123" s="11">
        <f t="shared" si="19"/>
        <v>0</v>
      </c>
      <c r="N123" s="11">
        <f t="shared" si="20"/>
        <v>49.772256599999999</v>
      </c>
      <c r="O123" s="11">
        <f t="shared" si="21"/>
        <v>0</v>
      </c>
      <c r="P123" s="11">
        <f t="shared" si="22"/>
        <v>45.136605249999995</v>
      </c>
      <c r="Q123" s="11">
        <f t="shared" si="23"/>
        <v>0</v>
      </c>
      <c r="R123" s="531"/>
      <c r="S123" s="415"/>
    </row>
    <row r="124" spans="1:19" s="180" customFormat="1" ht="13.5" thickBot="1">
      <c r="A124" s="1320"/>
      <c r="B124" s="416"/>
      <c r="C124" s="417" t="s">
        <v>384</v>
      </c>
      <c r="D124" s="418" t="s">
        <v>3999</v>
      </c>
      <c r="E124" s="889">
        <v>116.84</v>
      </c>
      <c r="F124" s="8">
        <f t="shared" si="24"/>
        <v>64.262</v>
      </c>
      <c r="G124" s="10">
        <f t="shared" si="25"/>
        <v>0</v>
      </c>
      <c r="H124" s="11">
        <f t="shared" si="14"/>
        <v>2.01589894</v>
      </c>
      <c r="I124" s="11">
        <f t="shared" si="15"/>
        <v>0</v>
      </c>
      <c r="J124" s="11">
        <f t="shared" si="16"/>
        <v>1.7607788</v>
      </c>
      <c r="K124" s="11">
        <f t="shared" si="17"/>
        <v>0</v>
      </c>
      <c r="L124" s="11">
        <f t="shared" si="18"/>
        <v>1.4651736</v>
      </c>
      <c r="M124" s="11">
        <f t="shared" si="19"/>
        <v>0</v>
      </c>
      <c r="N124" s="11">
        <f t="shared" si="20"/>
        <v>1.3109448000000001</v>
      </c>
      <c r="O124" s="11">
        <f t="shared" si="21"/>
        <v>0</v>
      </c>
      <c r="P124" s="11">
        <f t="shared" si="22"/>
        <v>1.188847</v>
      </c>
      <c r="Q124" s="11">
        <f t="shared" si="23"/>
        <v>0</v>
      </c>
      <c r="R124" s="531"/>
      <c r="S124" s="415"/>
    </row>
    <row r="125" spans="1:19" s="180" customFormat="1" ht="13.5" thickBot="1">
      <c r="A125" s="1320"/>
      <c r="B125" s="416"/>
      <c r="C125" s="417" t="s">
        <v>1327</v>
      </c>
      <c r="D125" s="418" t="s">
        <v>1328</v>
      </c>
      <c r="E125" s="889">
        <v>912.91</v>
      </c>
      <c r="F125" s="8">
        <f t="shared" si="24"/>
        <v>502.10050000000001</v>
      </c>
      <c r="G125" s="10">
        <f t="shared" si="25"/>
        <v>0</v>
      </c>
      <c r="H125" s="11">
        <f t="shared" si="14"/>
        <v>15.750892685000002</v>
      </c>
      <c r="I125" s="11">
        <f t="shared" si="15"/>
        <v>0</v>
      </c>
      <c r="J125" s="11">
        <f t="shared" si="16"/>
        <v>13.757553700000001</v>
      </c>
      <c r="K125" s="11">
        <f t="shared" si="17"/>
        <v>0</v>
      </c>
      <c r="L125" s="11">
        <f t="shared" si="18"/>
        <v>11.447891400000001</v>
      </c>
      <c r="M125" s="11">
        <f t="shared" si="19"/>
        <v>0</v>
      </c>
      <c r="N125" s="11">
        <f t="shared" si="20"/>
        <v>10.242850200000001</v>
      </c>
      <c r="O125" s="11">
        <f t="shared" si="21"/>
        <v>0</v>
      </c>
      <c r="P125" s="11">
        <f t="shared" si="22"/>
        <v>9.2888592499999998</v>
      </c>
      <c r="Q125" s="11">
        <f t="shared" si="23"/>
        <v>0</v>
      </c>
      <c r="R125" s="531"/>
      <c r="S125" s="415"/>
    </row>
    <row r="126" spans="1:19" s="180" customFormat="1" ht="13.5" thickBot="1">
      <c r="A126" s="1321"/>
      <c r="B126" s="416"/>
      <c r="C126" s="419" t="s">
        <v>1152</v>
      </c>
      <c r="D126" s="420" t="s">
        <v>1231</v>
      </c>
      <c r="E126" s="889">
        <v>5018.6099999999997</v>
      </c>
      <c r="F126" s="8">
        <f t="shared" si="24"/>
        <v>2760.2355000000002</v>
      </c>
      <c r="G126" s="10">
        <f t="shared" si="25"/>
        <v>0</v>
      </c>
      <c r="H126" s="11">
        <f t="shared" si="14"/>
        <v>86.58858763500001</v>
      </c>
      <c r="I126" s="11">
        <f t="shared" si="15"/>
        <v>0</v>
      </c>
      <c r="J126" s="11">
        <f t="shared" si="16"/>
        <v>75.630452700000006</v>
      </c>
      <c r="K126" s="11">
        <f t="shared" si="17"/>
        <v>0</v>
      </c>
      <c r="L126" s="11">
        <f t="shared" si="18"/>
        <v>62.933369400000011</v>
      </c>
      <c r="M126" s="11">
        <f t="shared" si="19"/>
        <v>0</v>
      </c>
      <c r="N126" s="11">
        <f t="shared" si="20"/>
        <v>56.308804200000012</v>
      </c>
      <c r="O126" s="11">
        <f t="shared" si="21"/>
        <v>0</v>
      </c>
      <c r="P126" s="11">
        <f t="shared" si="22"/>
        <v>51.064356750000002</v>
      </c>
      <c r="Q126" s="11">
        <f t="shared" si="23"/>
        <v>0</v>
      </c>
      <c r="R126" s="531"/>
      <c r="S126" s="415"/>
    </row>
    <row r="127" spans="1:19" s="180" customFormat="1" ht="13.5" thickBot="1">
      <c r="A127" s="1321"/>
      <c r="B127" s="416"/>
      <c r="C127" s="419" t="s">
        <v>1232</v>
      </c>
      <c r="D127" s="420" t="s">
        <v>1233</v>
      </c>
      <c r="E127" s="889">
        <v>59245.59</v>
      </c>
      <c r="F127" s="8">
        <f t="shared" si="24"/>
        <v>32585.074500000002</v>
      </c>
      <c r="G127" s="10">
        <f t="shared" si="25"/>
        <v>0</v>
      </c>
      <c r="H127" s="11">
        <f t="shared" si="14"/>
        <v>1022.1937870650002</v>
      </c>
      <c r="I127" s="11">
        <f t="shared" si="15"/>
        <v>0</v>
      </c>
      <c r="J127" s="11">
        <f t="shared" si="16"/>
        <v>892.83104130000004</v>
      </c>
      <c r="K127" s="11">
        <f t="shared" si="17"/>
        <v>0</v>
      </c>
      <c r="L127" s="11">
        <f t="shared" si="18"/>
        <v>742.93969860000004</v>
      </c>
      <c r="M127" s="11">
        <f t="shared" si="19"/>
        <v>0</v>
      </c>
      <c r="N127" s="11">
        <f t="shared" si="20"/>
        <v>664.73551980000013</v>
      </c>
      <c r="O127" s="11">
        <f t="shared" si="21"/>
        <v>0</v>
      </c>
      <c r="P127" s="11">
        <f t="shared" si="22"/>
        <v>602.82387825000001</v>
      </c>
      <c r="Q127" s="11">
        <f t="shared" si="23"/>
        <v>0</v>
      </c>
      <c r="R127" s="531"/>
      <c r="S127" s="415"/>
    </row>
    <row r="128" spans="1:19" s="180" customFormat="1" ht="13.5" thickBot="1">
      <c r="A128" s="1321"/>
      <c r="B128" s="416"/>
      <c r="C128" s="417" t="s">
        <v>3961</v>
      </c>
      <c r="D128" s="418" t="s">
        <v>1234</v>
      </c>
      <c r="E128" s="889">
        <v>7399.39</v>
      </c>
      <c r="F128" s="8">
        <f t="shared" si="24"/>
        <v>4069.6645000000003</v>
      </c>
      <c r="G128" s="10">
        <f t="shared" si="25"/>
        <v>0</v>
      </c>
      <c r="H128" s="11">
        <f t="shared" si="14"/>
        <v>127.66537536500002</v>
      </c>
      <c r="I128" s="11">
        <f t="shared" si="15"/>
        <v>0</v>
      </c>
      <c r="J128" s="11">
        <f t="shared" si="16"/>
        <v>111.50880730000002</v>
      </c>
      <c r="K128" s="11">
        <f t="shared" si="17"/>
        <v>0</v>
      </c>
      <c r="L128" s="11">
        <f t="shared" si="18"/>
        <v>92.788350600000015</v>
      </c>
      <c r="M128" s="11">
        <f t="shared" si="19"/>
        <v>0</v>
      </c>
      <c r="N128" s="11">
        <f t="shared" si="20"/>
        <v>83.021155800000017</v>
      </c>
      <c r="O128" s="11">
        <f t="shared" si="21"/>
        <v>0</v>
      </c>
      <c r="P128" s="11">
        <f t="shared" si="22"/>
        <v>75.288793249999998</v>
      </c>
      <c r="Q128" s="11">
        <f t="shared" si="23"/>
        <v>0</v>
      </c>
      <c r="R128" s="531"/>
      <c r="S128" s="415"/>
    </row>
    <row r="129" spans="1:19" s="180" customFormat="1" ht="13.5" thickBot="1">
      <c r="A129" s="1321"/>
      <c r="B129" s="416"/>
      <c r="C129" s="419" t="s">
        <v>1235</v>
      </c>
      <c r="D129" s="420" t="s">
        <v>1381</v>
      </c>
      <c r="E129" s="889">
        <v>5179.58</v>
      </c>
      <c r="F129" s="8">
        <f t="shared" si="24"/>
        <v>2848.7690000000002</v>
      </c>
      <c r="G129" s="10">
        <f t="shared" si="25"/>
        <v>0</v>
      </c>
      <c r="H129" s="11">
        <f t="shared" si="14"/>
        <v>89.365883530000019</v>
      </c>
      <c r="I129" s="11">
        <f t="shared" si="15"/>
        <v>0</v>
      </c>
      <c r="J129" s="11">
        <f t="shared" si="16"/>
        <v>78.056270600000005</v>
      </c>
      <c r="K129" s="11">
        <f t="shared" si="17"/>
        <v>0</v>
      </c>
      <c r="L129" s="11">
        <f t="shared" si="18"/>
        <v>64.951933200000013</v>
      </c>
      <c r="M129" s="11">
        <f t="shared" si="19"/>
        <v>0</v>
      </c>
      <c r="N129" s="11">
        <f t="shared" si="20"/>
        <v>58.11488760000001</v>
      </c>
      <c r="O129" s="11">
        <f t="shared" si="21"/>
        <v>0</v>
      </c>
      <c r="P129" s="11">
        <f t="shared" si="22"/>
        <v>52.702226500000002</v>
      </c>
      <c r="Q129" s="11">
        <f t="shared" si="23"/>
        <v>0</v>
      </c>
      <c r="R129" s="531"/>
      <c r="S129" s="415"/>
    </row>
    <row r="130" spans="1:19" s="180" customFormat="1" ht="13.5" thickBot="1">
      <c r="A130" s="1321"/>
      <c r="B130" s="416"/>
      <c r="C130" s="417" t="s">
        <v>1329</v>
      </c>
      <c r="D130" s="418" t="s">
        <v>4000</v>
      </c>
      <c r="E130" s="889">
        <v>8529.7199999999993</v>
      </c>
      <c r="F130" s="8">
        <f t="shared" si="24"/>
        <v>4691.3460000000005</v>
      </c>
      <c r="G130" s="10">
        <f t="shared" si="25"/>
        <v>0</v>
      </c>
      <c r="H130" s="11">
        <f t="shared" si="14"/>
        <v>147.16752402000003</v>
      </c>
      <c r="I130" s="11">
        <f t="shared" si="15"/>
        <v>0</v>
      </c>
      <c r="J130" s="11">
        <f t="shared" si="16"/>
        <v>128.54288040000003</v>
      </c>
      <c r="K130" s="11">
        <f t="shared" si="17"/>
        <v>0</v>
      </c>
      <c r="L130" s="11">
        <f t="shared" si="18"/>
        <v>106.96268880000001</v>
      </c>
      <c r="M130" s="11">
        <f t="shared" si="19"/>
        <v>0</v>
      </c>
      <c r="N130" s="11">
        <f t="shared" si="20"/>
        <v>95.703458400000017</v>
      </c>
      <c r="O130" s="11">
        <f t="shared" si="21"/>
        <v>0</v>
      </c>
      <c r="P130" s="11">
        <f t="shared" si="22"/>
        <v>86.789901</v>
      </c>
      <c r="Q130" s="11">
        <f t="shared" si="23"/>
        <v>0</v>
      </c>
      <c r="R130" s="531"/>
      <c r="S130" s="415"/>
    </row>
    <row r="131" spans="1:19" s="180" customFormat="1" ht="13.5" thickBot="1">
      <c r="A131" s="1321"/>
      <c r="B131" s="416"/>
      <c r="C131" s="419" t="s">
        <v>1330</v>
      </c>
      <c r="D131" s="420" t="s">
        <v>4001</v>
      </c>
      <c r="E131" s="889">
        <v>14164.55</v>
      </c>
      <c r="F131" s="8">
        <f t="shared" si="24"/>
        <v>7790.5025000000005</v>
      </c>
      <c r="G131" s="10">
        <f t="shared" si="25"/>
        <v>0</v>
      </c>
      <c r="H131" s="11">
        <f t="shared" si="14"/>
        <v>244.38806342500004</v>
      </c>
      <c r="I131" s="11">
        <f t="shared" si="15"/>
        <v>0</v>
      </c>
      <c r="J131" s="11">
        <f t="shared" si="16"/>
        <v>213.45976850000002</v>
      </c>
      <c r="K131" s="11">
        <f t="shared" si="17"/>
        <v>0</v>
      </c>
      <c r="L131" s="11">
        <f t="shared" si="18"/>
        <v>177.62345700000003</v>
      </c>
      <c r="M131" s="11">
        <f t="shared" si="19"/>
        <v>0</v>
      </c>
      <c r="N131" s="11">
        <f t="shared" si="20"/>
        <v>158.92625100000001</v>
      </c>
      <c r="O131" s="11">
        <f t="shared" si="21"/>
        <v>0</v>
      </c>
      <c r="P131" s="11">
        <f t="shared" si="22"/>
        <v>144.12429625000001</v>
      </c>
      <c r="Q131" s="11">
        <f t="shared" si="23"/>
        <v>0</v>
      </c>
      <c r="R131" s="531"/>
      <c r="S131" s="415"/>
    </row>
    <row r="132" spans="1:19" s="180" customFormat="1" ht="13.5" thickBot="1">
      <c r="A132" s="1321"/>
      <c r="B132" s="416"/>
      <c r="C132" s="419" t="s">
        <v>1132</v>
      </c>
      <c r="D132" s="420" t="s">
        <v>1133</v>
      </c>
      <c r="E132" s="889">
        <v>1471.47</v>
      </c>
      <c r="F132" s="8">
        <f t="shared" si="24"/>
        <v>809.30850000000009</v>
      </c>
      <c r="G132" s="10">
        <f t="shared" si="25"/>
        <v>0</v>
      </c>
      <c r="H132" s="11">
        <f t="shared" si="14"/>
        <v>25.388007645000005</v>
      </c>
      <c r="I132" s="11">
        <f t="shared" si="15"/>
        <v>0</v>
      </c>
      <c r="J132" s="11">
        <f t="shared" si="16"/>
        <v>22.175052900000004</v>
      </c>
      <c r="K132" s="11">
        <f t="shared" si="17"/>
        <v>0</v>
      </c>
      <c r="L132" s="11">
        <f t="shared" si="18"/>
        <v>18.452233800000002</v>
      </c>
      <c r="M132" s="11">
        <f t="shared" si="19"/>
        <v>0</v>
      </c>
      <c r="N132" s="11">
        <f t="shared" si="20"/>
        <v>16.509893400000003</v>
      </c>
      <c r="O132" s="11">
        <f t="shared" si="21"/>
        <v>0</v>
      </c>
      <c r="P132" s="11">
        <f t="shared" si="22"/>
        <v>14.97220725</v>
      </c>
      <c r="Q132" s="11">
        <f t="shared" si="23"/>
        <v>0</v>
      </c>
      <c r="R132" s="531"/>
      <c r="S132" s="415"/>
    </row>
    <row r="133" spans="1:19" s="180" customFormat="1" ht="13.5" thickBot="1">
      <c r="A133" s="1321"/>
      <c r="B133" s="416"/>
      <c r="C133" s="419" t="s">
        <v>1150</v>
      </c>
      <c r="D133" s="420" t="s">
        <v>1151</v>
      </c>
      <c r="E133" s="889">
        <v>1103.9100000000001</v>
      </c>
      <c r="F133" s="8">
        <f t="shared" si="24"/>
        <v>607.15050000000008</v>
      </c>
      <c r="G133" s="10">
        <f t="shared" si="25"/>
        <v>0</v>
      </c>
      <c r="H133" s="11">
        <f t="shared" si="14"/>
        <v>19.046311185000004</v>
      </c>
      <c r="I133" s="11">
        <f t="shared" si="15"/>
        <v>0</v>
      </c>
      <c r="J133" s="11">
        <f t="shared" si="16"/>
        <v>16.635923700000003</v>
      </c>
      <c r="K133" s="11">
        <f t="shared" si="17"/>
        <v>0</v>
      </c>
      <c r="L133" s="11">
        <f t="shared" si="18"/>
        <v>13.843031400000003</v>
      </c>
      <c r="M133" s="11">
        <f t="shared" si="19"/>
        <v>0</v>
      </c>
      <c r="N133" s="11">
        <f t="shared" si="20"/>
        <v>12.385870200000003</v>
      </c>
      <c r="O133" s="11">
        <f t="shared" si="21"/>
        <v>0</v>
      </c>
      <c r="P133" s="11">
        <f t="shared" si="22"/>
        <v>11.232284250000001</v>
      </c>
      <c r="Q133" s="11">
        <f t="shared" si="23"/>
        <v>0</v>
      </c>
      <c r="R133" s="531"/>
      <c r="S133" s="415"/>
    </row>
    <row r="134" spans="1:19" s="180" customFormat="1" ht="13.5" thickBot="1">
      <c r="A134" s="1321"/>
      <c r="B134" s="416"/>
      <c r="C134" s="419" t="s">
        <v>1238</v>
      </c>
      <c r="D134" s="420" t="s">
        <v>1239</v>
      </c>
      <c r="E134" s="889">
        <v>1610.28</v>
      </c>
      <c r="F134" s="8">
        <f t="shared" si="24"/>
        <v>885.65400000000011</v>
      </c>
      <c r="G134" s="10">
        <f t="shared" si="25"/>
        <v>0</v>
      </c>
      <c r="H134" s="11">
        <f t="shared" si="14"/>
        <v>27.782965980000004</v>
      </c>
      <c r="I134" s="11">
        <f t="shared" si="15"/>
        <v>0</v>
      </c>
      <c r="J134" s="11">
        <f t="shared" si="16"/>
        <v>24.266919600000005</v>
      </c>
      <c r="K134" s="11">
        <f t="shared" si="17"/>
        <v>0</v>
      </c>
      <c r="L134" s="11">
        <f t="shared" si="18"/>
        <v>20.192911200000005</v>
      </c>
      <c r="M134" s="11">
        <f t="shared" si="19"/>
        <v>0</v>
      </c>
      <c r="N134" s="11">
        <f t="shared" si="20"/>
        <v>18.067341600000002</v>
      </c>
      <c r="O134" s="11">
        <f t="shared" si="21"/>
        <v>0</v>
      </c>
      <c r="P134" s="11">
        <f t="shared" si="22"/>
        <v>16.384599000000001</v>
      </c>
      <c r="Q134" s="11">
        <f t="shared" si="23"/>
        <v>0</v>
      </c>
      <c r="R134" s="531"/>
      <c r="S134" s="415"/>
    </row>
    <row r="135" spans="1:19" s="180" customFormat="1" ht="13.5" thickBot="1">
      <c r="A135" s="1321"/>
      <c r="B135" s="416"/>
      <c r="C135" s="419" t="s">
        <v>3962</v>
      </c>
      <c r="D135" s="420" t="s">
        <v>3963</v>
      </c>
      <c r="E135" s="889">
        <v>1610.28</v>
      </c>
      <c r="F135" s="8">
        <f t="shared" si="24"/>
        <v>885.65400000000011</v>
      </c>
      <c r="G135" s="10">
        <f t="shared" si="25"/>
        <v>0</v>
      </c>
      <c r="H135" s="11">
        <f t="shared" si="14"/>
        <v>27.782965980000004</v>
      </c>
      <c r="I135" s="11">
        <f t="shared" si="15"/>
        <v>0</v>
      </c>
      <c r="J135" s="11">
        <f t="shared" si="16"/>
        <v>24.266919600000005</v>
      </c>
      <c r="K135" s="11">
        <f t="shared" si="17"/>
        <v>0</v>
      </c>
      <c r="L135" s="11">
        <f t="shared" si="18"/>
        <v>20.192911200000005</v>
      </c>
      <c r="M135" s="11">
        <f t="shared" si="19"/>
        <v>0</v>
      </c>
      <c r="N135" s="11">
        <f t="shared" si="20"/>
        <v>18.067341600000002</v>
      </c>
      <c r="O135" s="11">
        <f t="shared" si="21"/>
        <v>0</v>
      </c>
      <c r="P135" s="11">
        <f t="shared" si="22"/>
        <v>16.384599000000001</v>
      </c>
      <c r="Q135" s="11">
        <f t="shared" si="23"/>
        <v>0</v>
      </c>
      <c r="R135" s="531"/>
      <c r="S135" s="415"/>
    </row>
    <row r="136" spans="1:19" s="180" customFormat="1" ht="13.5" thickBot="1">
      <c r="A136" s="1321"/>
      <c r="B136" s="416"/>
      <c r="C136" s="419" t="s">
        <v>3964</v>
      </c>
      <c r="D136" s="951" t="s">
        <v>3965</v>
      </c>
      <c r="E136" s="889">
        <v>2514.2399999999998</v>
      </c>
      <c r="F136" s="8">
        <f t="shared" si="24"/>
        <v>1382.8319999999999</v>
      </c>
      <c r="G136" s="10">
        <f t="shared" si="25"/>
        <v>0</v>
      </c>
      <c r="H136" s="11">
        <f t="shared" si="14"/>
        <v>43.379439839999996</v>
      </c>
      <c r="I136" s="11">
        <f t="shared" si="15"/>
        <v>0</v>
      </c>
      <c r="J136" s="11">
        <f t="shared" si="16"/>
        <v>37.8895968</v>
      </c>
      <c r="K136" s="11">
        <f t="shared" si="17"/>
        <v>0</v>
      </c>
      <c r="L136" s="11">
        <f t="shared" si="18"/>
        <v>31.528569599999997</v>
      </c>
      <c r="M136" s="11">
        <f t="shared" si="19"/>
        <v>0</v>
      </c>
      <c r="N136" s="11">
        <f t="shared" si="20"/>
        <v>28.2097728</v>
      </c>
      <c r="O136" s="11">
        <f t="shared" si="21"/>
        <v>0</v>
      </c>
      <c r="P136" s="11">
        <f t="shared" si="22"/>
        <v>25.582391999999995</v>
      </c>
      <c r="Q136" s="11">
        <f t="shared" si="23"/>
        <v>0</v>
      </c>
      <c r="R136" s="531"/>
      <c r="S136" s="415"/>
    </row>
    <row r="137" spans="1:19" s="180" customFormat="1" ht="13.5" thickBot="1">
      <c r="A137" s="1321"/>
      <c r="B137" s="416"/>
      <c r="C137" s="419" t="s">
        <v>3966</v>
      </c>
      <c r="D137" s="951" t="s">
        <v>3967</v>
      </c>
      <c r="E137" s="889">
        <v>31146.560000000001</v>
      </c>
      <c r="F137" s="8">
        <f t="shared" si="24"/>
        <v>17130.608000000004</v>
      </c>
      <c r="G137" s="10">
        <f t="shared" si="25"/>
        <v>0</v>
      </c>
      <c r="H137" s="11">
        <f t="shared" si="14"/>
        <v>537.38717296000016</v>
      </c>
      <c r="I137" s="11">
        <f t="shared" si="15"/>
        <v>0</v>
      </c>
      <c r="J137" s="11">
        <f t="shared" si="16"/>
        <v>469.37865920000013</v>
      </c>
      <c r="K137" s="11">
        <f t="shared" si="17"/>
        <v>0</v>
      </c>
      <c r="L137" s="11">
        <f t="shared" si="18"/>
        <v>390.57786240000013</v>
      </c>
      <c r="M137" s="11">
        <f t="shared" si="19"/>
        <v>0</v>
      </c>
      <c r="N137" s="11">
        <f t="shared" si="20"/>
        <v>349.46440320000011</v>
      </c>
      <c r="O137" s="11">
        <f t="shared" si="21"/>
        <v>0</v>
      </c>
      <c r="P137" s="11">
        <f t="shared" si="22"/>
        <v>316.91624800000005</v>
      </c>
      <c r="Q137" s="11">
        <f t="shared" si="23"/>
        <v>0</v>
      </c>
      <c r="R137" s="531"/>
      <c r="S137" s="415"/>
    </row>
    <row r="138" spans="1:19" s="180" customFormat="1" ht="13.5" thickBot="1">
      <c r="A138" s="1321"/>
      <c r="B138" s="416"/>
      <c r="C138" s="419">
        <v>13200002</v>
      </c>
      <c r="D138" s="420" t="s">
        <v>1240</v>
      </c>
      <c r="E138" s="889">
        <v>663.05</v>
      </c>
      <c r="F138" s="8">
        <f t="shared" si="24"/>
        <v>364.67750000000001</v>
      </c>
      <c r="G138" s="10">
        <f t="shared" si="25"/>
        <v>0</v>
      </c>
      <c r="H138" s="11">
        <f t="shared" si="14"/>
        <v>11.439933175</v>
      </c>
      <c r="I138" s="11">
        <f t="shared" si="15"/>
        <v>0</v>
      </c>
      <c r="J138" s="11">
        <f t="shared" si="16"/>
        <v>9.9921635000000002</v>
      </c>
      <c r="K138" s="11">
        <f t="shared" si="17"/>
        <v>0</v>
      </c>
      <c r="L138" s="11">
        <f t="shared" si="18"/>
        <v>8.3146470000000008</v>
      </c>
      <c r="M138" s="11">
        <f t="shared" si="19"/>
        <v>0</v>
      </c>
      <c r="N138" s="11">
        <f t="shared" si="20"/>
        <v>7.4394210000000003</v>
      </c>
      <c r="O138" s="11">
        <f t="shared" si="21"/>
        <v>0</v>
      </c>
      <c r="P138" s="11">
        <f t="shared" si="22"/>
        <v>6.7465337500000002</v>
      </c>
      <c r="Q138" s="11">
        <f t="shared" si="23"/>
        <v>0</v>
      </c>
      <c r="R138" s="531"/>
      <c r="S138" s="415"/>
    </row>
    <row r="139" spans="1:19" s="180" customFormat="1" ht="13.5" thickBot="1">
      <c r="A139" s="1321"/>
      <c r="B139" s="416"/>
      <c r="C139" s="419" t="s">
        <v>1241</v>
      </c>
      <c r="D139" s="420" t="s">
        <v>1242</v>
      </c>
      <c r="E139" s="889">
        <v>7546.63</v>
      </c>
      <c r="F139" s="8">
        <f t="shared" si="24"/>
        <v>4150.6465000000007</v>
      </c>
      <c r="G139" s="10">
        <f t="shared" si="25"/>
        <v>0</v>
      </c>
      <c r="H139" s="11">
        <f t="shared" si="14"/>
        <v>130.20578070500002</v>
      </c>
      <c r="I139" s="11">
        <f t="shared" si="15"/>
        <v>0</v>
      </c>
      <c r="J139" s="11">
        <f>F139*0.02564</f>
        <v>106.42257626000001</v>
      </c>
      <c r="K139" s="11">
        <f t="shared" si="17"/>
        <v>0</v>
      </c>
      <c r="L139" s="11">
        <f t="shared" si="18"/>
        <v>94.634740200000024</v>
      </c>
      <c r="M139" s="11">
        <f t="shared" si="19"/>
        <v>0</v>
      </c>
      <c r="N139" s="11">
        <f t="shared" si="20"/>
        <v>84.673188600000017</v>
      </c>
      <c r="O139" s="11">
        <f t="shared" si="21"/>
        <v>0</v>
      </c>
      <c r="P139" s="11">
        <f t="shared" si="22"/>
        <v>76.786960250000007</v>
      </c>
      <c r="Q139" s="11">
        <f t="shared" si="23"/>
        <v>0</v>
      </c>
      <c r="R139" s="531"/>
      <c r="S139" s="415"/>
    </row>
    <row r="140" spans="1:19" s="180" customFormat="1" ht="13.5" thickBot="1">
      <c r="A140" s="1321"/>
      <c r="B140" s="416"/>
      <c r="C140" s="419" t="s">
        <v>4016</v>
      </c>
      <c r="D140" s="420" t="s">
        <v>4017</v>
      </c>
      <c r="E140" s="889">
        <v>725.2</v>
      </c>
      <c r="F140" s="8">
        <f t="shared" si="24"/>
        <v>398.86000000000007</v>
      </c>
      <c r="G140" s="10">
        <f t="shared" si="25"/>
        <v>0</v>
      </c>
      <c r="H140" s="11">
        <f t="shared" si="14"/>
        <v>12.512238200000002</v>
      </c>
      <c r="I140" s="11">
        <f t="shared" si="15"/>
        <v>0</v>
      </c>
      <c r="J140" s="11">
        <f>F140*0.02564</f>
        <v>10.226770400000001</v>
      </c>
      <c r="K140" s="11">
        <f t="shared" si="17"/>
        <v>0</v>
      </c>
      <c r="L140" s="11">
        <f>F140*0.0256</f>
        <v>10.210816000000003</v>
      </c>
      <c r="M140" s="11">
        <f t="shared" si="19"/>
        <v>0</v>
      </c>
      <c r="N140" s="11">
        <f t="shared" si="20"/>
        <v>8.136744000000002</v>
      </c>
      <c r="O140" s="11">
        <f t="shared" si="21"/>
        <v>0</v>
      </c>
      <c r="P140" s="11">
        <f t="shared" si="22"/>
        <v>7.3789100000000012</v>
      </c>
      <c r="Q140" s="11">
        <f t="shared" si="23"/>
        <v>0</v>
      </c>
      <c r="R140" s="531"/>
      <c r="S140" s="415"/>
    </row>
    <row r="141" spans="1:19" s="180" customFormat="1" ht="13.5" thickBot="1">
      <c r="A141" s="1321"/>
      <c r="B141" s="416"/>
      <c r="C141" s="419" t="s">
        <v>4018</v>
      </c>
      <c r="D141" s="420" t="s">
        <v>4019</v>
      </c>
      <c r="E141" s="889">
        <v>17592.400000000001</v>
      </c>
      <c r="F141" s="8">
        <f t="shared" si="24"/>
        <v>9675.8200000000015</v>
      </c>
      <c r="G141" s="10">
        <f t="shared" si="25"/>
        <v>0</v>
      </c>
      <c r="H141" s="11">
        <f t="shared" si="14"/>
        <v>303.53047340000006</v>
      </c>
      <c r="I141" s="11">
        <f t="shared" si="15"/>
        <v>0</v>
      </c>
      <c r="J141" s="11">
        <f t="shared" ref="J141:J163" si="26">F141*0.0274</f>
        <v>265.11746800000003</v>
      </c>
      <c r="K141" s="11">
        <f t="shared" si="17"/>
        <v>0</v>
      </c>
      <c r="L141" s="11">
        <f t="shared" ref="L141:L163" si="27">F141*0.0228</f>
        <v>220.60869600000004</v>
      </c>
      <c r="M141" s="11">
        <f t="shared" si="19"/>
        <v>0</v>
      </c>
      <c r="N141" s="11">
        <f t="shared" si="20"/>
        <v>197.38672800000003</v>
      </c>
      <c r="O141" s="11">
        <f t="shared" si="21"/>
        <v>0</v>
      </c>
      <c r="P141" s="11">
        <f t="shared" si="22"/>
        <v>179.00267000000002</v>
      </c>
      <c r="Q141" s="11">
        <f t="shared" si="23"/>
        <v>0</v>
      </c>
      <c r="R141" s="531"/>
      <c r="S141" s="415"/>
    </row>
    <row r="142" spans="1:19" s="180" customFormat="1" ht="13.5" thickBot="1">
      <c r="A142" s="1321"/>
      <c r="B142" s="416"/>
      <c r="C142" s="419" t="s">
        <v>1243</v>
      </c>
      <c r="D142" s="420" t="s">
        <v>1244</v>
      </c>
      <c r="E142" s="889">
        <v>51145.96</v>
      </c>
      <c r="F142" s="8">
        <f t="shared" si="24"/>
        <v>28130.278000000002</v>
      </c>
      <c r="G142" s="10">
        <f t="shared" si="25"/>
        <v>0</v>
      </c>
      <c r="H142" s="11">
        <f t="shared" si="14"/>
        <v>882.44682086000012</v>
      </c>
      <c r="I142" s="11">
        <f t="shared" si="15"/>
        <v>0</v>
      </c>
      <c r="J142" s="11">
        <f t="shared" si="26"/>
        <v>770.76961720000008</v>
      </c>
      <c r="K142" s="11">
        <f t="shared" si="17"/>
        <v>0</v>
      </c>
      <c r="L142" s="11">
        <f t="shared" si="27"/>
        <v>641.37033840000004</v>
      </c>
      <c r="M142" s="11">
        <f t="shared" si="19"/>
        <v>0</v>
      </c>
      <c r="N142" s="11">
        <f t="shared" si="20"/>
        <v>573.85767120000003</v>
      </c>
      <c r="O142" s="11">
        <f t="shared" si="21"/>
        <v>0</v>
      </c>
      <c r="P142" s="11">
        <f t="shared" si="22"/>
        <v>520.41014300000006</v>
      </c>
      <c r="Q142" s="11">
        <f t="shared" si="23"/>
        <v>0</v>
      </c>
      <c r="R142" s="531"/>
      <c r="S142" s="415"/>
    </row>
    <row r="143" spans="1:19" s="180" customFormat="1" ht="13.5" thickBot="1">
      <c r="A143" s="1321"/>
      <c r="B143" s="416"/>
      <c r="C143" s="417" t="s">
        <v>3970</v>
      </c>
      <c r="D143" s="418" t="s">
        <v>3971</v>
      </c>
      <c r="E143" s="889">
        <v>26114.75</v>
      </c>
      <c r="F143" s="8">
        <f t="shared" si="24"/>
        <v>14363.112500000001</v>
      </c>
      <c r="G143" s="10">
        <f t="shared" si="25"/>
        <v>0</v>
      </c>
      <c r="H143" s="11">
        <f t="shared" si="14"/>
        <v>450.57083912500008</v>
      </c>
      <c r="I143" s="11">
        <f t="shared" si="15"/>
        <v>0</v>
      </c>
      <c r="J143" s="11">
        <f t="shared" si="26"/>
        <v>393.54928250000006</v>
      </c>
      <c r="K143" s="11">
        <f t="shared" si="17"/>
        <v>0</v>
      </c>
      <c r="L143" s="11">
        <f t="shared" si="27"/>
        <v>327.47896500000002</v>
      </c>
      <c r="M143" s="11">
        <f t="shared" si="19"/>
        <v>0</v>
      </c>
      <c r="N143" s="11">
        <f t="shared" si="20"/>
        <v>293.00749500000006</v>
      </c>
      <c r="O143" s="11">
        <f t="shared" si="21"/>
        <v>0</v>
      </c>
      <c r="P143" s="11">
        <f t="shared" si="22"/>
        <v>265.71758125000002</v>
      </c>
      <c r="Q143" s="11">
        <f t="shared" si="23"/>
        <v>0</v>
      </c>
      <c r="R143" s="531"/>
      <c r="S143" s="415"/>
    </row>
    <row r="144" spans="1:19" s="180" customFormat="1" ht="13.5" thickBot="1">
      <c r="A144" s="1321"/>
      <c r="B144" s="416"/>
      <c r="C144" s="417">
        <v>13700022</v>
      </c>
      <c r="D144" s="418" t="s">
        <v>1245</v>
      </c>
      <c r="E144" s="889">
        <v>18623.990000000002</v>
      </c>
      <c r="F144" s="8">
        <f t="shared" si="24"/>
        <v>10243.194500000001</v>
      </c>
      <c r="G144" s="10">
        <f t="shared" si="25"/>
        <v>0</v>
      </c>
      <c r="H144" s="11">
        <f t="shared" si="14"/>
        <v>321.32901146500006</v>
      </c>
      <c r="I144" s="11">
        <f t="shared" si="15"/>
        <v>0</v>
      </c>
      <c r="J144" s="11">
        <f t="shared" si="26"/>
        <v>280.66352930000005</v>
      </c>
      <c r="K144" s="11">
        <f t="shared" si="17"/>
        <v>0</v>
      </c>
      <c r="L144" s="11">
        <f t="shared" si="27"/>
        <v>233.54483460000003</v>
      </c>
      <c r="M144" s="11">
        <f t="shared" si="19"/>
        <v>0</v>
      </c>
      <c r="N144" s="11">
        <f t="shared" si="20"/>
        <v>208.96116780000006</v>
      </c>
      <c r="O144" s="11">
        <f t="shared" si="21"/>
        <v>0</v>
      </c>
      <c r="P144" s="11">
        <f t="shared" si="22"/>
        <v>189.49909825</v>
      </c>
      <c r="Q144" s="11">
        <f t="shared" si="23"/>
        <v>0</v>
      </c>
      <c r="R144" s="531"/>
      <c r="S144" s="415"/>
    </row>
    <row r="145" spans="1:19" s="180" customFormat="1" ht="13.5" thickBot="1">
      <c r="A145" s="1321"/>
      <c r="B145" s="416"/>
      <c r="C145" s="417" t="s">
        <v>1249</v>
      </c>
      <c r="D145" s="418" t="s">
        <v>1250</v>
      </c>
      <c r="E145" s="889">
        <v>4733.1899999999996</v>
      </c>
      <c r="F145" s="8">
        <f t="shared" si="24"/>
        <v>2603.2545</v>
      </c>
      <c r="G145" s="10">
        <f t="shared" si="25"/>
        <v>0</v>
      </c>
      <c r="H145" s="11">
        <f t="shared" si="14"/>
        <v>81.66409366500001</v>
      </c>
      <c r="I145" s="11">
        <f t="shared" si="15"/>
        <v>0</v>
      </c>
      <c r="J145" s="11">
        <f t="shared" si="26"/>
        <v>71.329173300000008</v>
      </c>
      <c r="K145" s="11">
        <f t="shared" si="17"/>
        <v>0</v>
      </c>
      <c r="L145" s="11">
        <f t="shared" si="27"/>
        <v>59.354202600000001</v>
      </c>
      <c r="M145" s="11">
        <f t="shared" si="19"/>
        <v>0</v>
      </c>
      <c r="N145" s="11">
        <f t="shared" si="20"/>
        <v>53.106391800000004</v>
      </c>
      <c r="O145" s="11">
        <f t="shared" si="21"/>
        <v>0</v>
      </c>
      <c r="P145" s="11">
        <f t="shared" si="22"/>
        <v>48.160208249999997</v>
      </c>
      <c r="Q145" s="11">
        <f t="shared" si="23"/>
        <v>0</v>
      </c>
      <c r="R145" s="531"/>
      <c r="S145" s="415"/>
    </row>
    <row r="146" spans="1:19" s="180" customFormat="1" ht="13.5" thickBot="1">
      <c r="A146" s="1321"/>
      <c r="B146" s="416"/>
      <c r="C146" s="419" t="s">
        <v>1146</v>
      </c>
      <c r="D146" s="420" t="s">
        <v>1147</v>
      </c>
      <c r="E146" s="889">
        <v>11627.62</v>
      </c>
      <c r="F146" s="8">
        <f t="shared" si="24"/>
        <v>6395.1910000000007</v>
      </c>
      <c r="G146" s="10">
        <f t="shared" si="25"/>
        <v>0</v>
      </c>
      <c r="H146" s="11">
        <f t="shared" si="14"/>
        <v>200.61714167000002</v>
      </c>
      <c r="I146" s="11">
        <f t="shared" si="15"/>
        <v>0</v>
      </c>
      <c r="J146" s="11">
        <f t="shared" si="26"/>
        <v>175.22823340000002</v>
      </c>
      <c r="K146" s="11">
        <f t="shared" si="17"/>
        <v>0</v>
      </c>
      <c r="L146" s="11">
        <f t="shared" si="27"/>
        <v>145.81035480000003</v>
      </c>
      <c r="M146" s="11">
        <f t="shared" si="19"/>
        <v>0</v>
      </c>
      <c r="N146" s="11">
        <f t="shared" si="20"/>
        <v>130.46189640000003</v>
      </c>
      <c r="O146" s="11">
        <f t="shared" si="21"/>
        <v>0</v>
      </c>
      <c r="P146" s="11">
        <f t="shared" si="22"/>
        <v>118.31103350000001</v>
      </c>
      <c r="Q146" s="11">
        <f t="shared" si="23"/>
        <v>0</v>
      </c>
      <c r="R146" s="531"/>
      <c r="S146" s="415"/>
    </row>
    <row r="147" spans="1:19" s="180" customFormat="1" ht="13.5" thickBot="1">
      <c r="A147" s="1321"/>
      <c r="B147" s="416"/>
      <c r="C147" s="419" t="s">
        <v>1251</v>
      </c>
      <c r="D147" s="420" t="s">
        <v>1252</v>
      </c>
      <c r="E147" s="889">
        <v>6666.66</v>
      </c>
      <c r="F147" s="8">
        <f t="shared" si="24"/>
        <v>3666.663</v>
      </c>
      <c r="G147" s="10">
        <f t="shared" si="25"/>
        <v>0</v>
      </c>
      <c r="H147" s="11">
        <f t="shared" si="14"/>
        <v>115.02321831</v>
      </c>
      <c r="I147" s="11">
        <f t="shared" si="15"/>
        <v>0</v>
      </c>
      <c r="J147" s="11">
        <f t="shared" si="26"/>
        <v>100.4665662</v>
      </c>
      <c r="K147" s="11">
        <f t="shared" si="17"/>
        <v>0</v>
      </c>
      <c r="L147" s="11">
        <f t="shared" si="27"/>
        <v>83.599916399999998</v>
      </c>
      <c r="M147" s="11">
        <f t="shared" si="19"/>
        <v>0</v>
      </c>
      <c r="N147" s="11">
        <f t="shared" si="20"/>
        <v>74.799925200000004</v>
      </c>
      <c r="O147" s="11">
        <f t="shared" si="21"/>
        <v>0</v>
      </c>
      <c r="P147" s="11">
        <f t="shared" si="22"/>
        <v>67.833265499999996</v>
      </c>
      <c r="Q147" s="11">
        <f t="shared" si="23"/>
        <v>0</v>
      </c>
      <c r="R147" s="531"/>
      <c r="S147" s="415"/>
    </row>
    <row r="148" spans="1:19" s="180" customFormat="1" ht="13.5" thickBot="1">
      <c r="A148" s="1321"/>
      <c r="B148" s="416"/>
      <c r="C148" s="419" t="s">
        <v>1253</v>
      </c>
      <c r="D148" s="420" t="s">
        <v>1254</v>
      </c>
      <c r="E148" s="889">
        <v>36766.33</v>
      </c>
      <c r="F148" s="8">
        <f t="shared" si="24"/>
        <v>20221.481500000002</v>
      </c>
      <c r="G148" s="10">
        <f t="shared" si="25"/>
        <v>0</v>
      </c>
      <c r="H148" s="11">
        <f t="shared" si="14"/>
        <v>634.34787465500006</v>
      </c>
      <c r="I148" s="11">
        <f t="shared" si="15"/>
        <v>0</v>
      </c>
      <c r="J148" s="11">
        <f t="shared" si="26"/>
        <v>554.06859310000004</v>
      </c>
      <c r="K148" s="11">
        <f t="shared" si="17"/>
        <v>0</v>
      </c>
      <c r="L148" s="11">
        <f t="shared" si="27"/>
        <v>461.04977820000005</v>
      </c>
      <c r="M148" s="11">
        <f t="shared" si="19"/>
        <v>0</v>
      </c>
      <c r="N148" s="11">
        <f t="shared" si="20"/>
        <v>412.51822260000006</v>
      </c>
      <c r="O148" s="11">
        <f t="shared" si="21"/>
        <v>0</v>
      </c>
      <c r="P148" s="11">
        <f t="shared" si="22"/>
        <v>374.09740775</v>
      </c>
      <c r="Q148" s="11">
        <f t="shared" si="23"/>
        <v>0</v>
      </c>
      <c r="R148" s="531"/>
      <c r="S148" s="415"/>
    </row>
    <row r="149" spans="1:19" s="180" customFormat="1" ht="13.5" thickBot="1">
      <c r="A149" s="1321"/>
      <c r="B149" s="416"/>
      <c r="C149" s="419" t="s">
        <v>1136</v>
      </c>
      <c r="D149" s="420" t="s">
        <v>1137</v>
      </c>
      <c r="E149" s="889">
        <v>2613.81</v>
      </c>
      <c r="F149" s="8">
        <f t="shared" si="24"/>
        <v>1437.5955000000001</v>
      </c>
      <c r="G149" s="10">
        <f t="shared" si="25"/>
        <v>0</v>
      </c>
      <c r="H149" s="11">
        <f t="shared" si="14"/>
        <v>45.097370835000007</v>
      </c>
      <c r="I149" s="11">
        <f t="shared" si="15"/>
        <v>0</v>
      </c>
      <c r="J149" s="11">
        <f t="shared" si="26"/>
        <v>39.390116700000007</v>
      </c>
      <c r="K149" s="11">
        <f t="shared" si="17"/>
        <v>0</v>
      </c>
      <c r="L149" s="11">
        <f t="shared" si="27"/>
        <v>32.777177400000006</v>
      </c>
      <c r="M149" s="11">
        <f t="shared" si="19"/>
        <v>0</v>
      </c>
      <c r="N149" s="11">
        <f t="shared" si="20"/>
        <v>29.326948200000004</v>
      </c>
      <c r="O149" s="11">
        <f t="shared" si="21"/>
        <v>0</v>
      </c>
      <c r="P149" s="11">
        <f t="shared" si="22"/>
        <v>26.595516750000002</v>
      </c>
      <c r="Q149" s="11">
        <f t="shared" si="23"/>
        <v>0</v>
      </c>
      <c r="R149" s="531"/>
      <c r="S149" s="415"/>
    </row>
    <row r="150" spans="1:19" s="180" customFormat="1" ht="13.5" thickBot="1">
      <c r="A150" s="1321"/>
      <c r="B150" s="416"/>
      <c r="C150" s="419" t="s">
        <v>1255</v>
      </c>
      <c r="D150" s="420" t="s">
        <v>1256</v>
      </c>
      <c r="E150" s="889">
        <v>21425.81</v>
      </c>
      <c r="F150" s="8">
        <f t="shared" si="24"/>
        <v>11784.195500000002</v>
      </c>
      <c r="G150" s="10">
        <f t="shared" si="25"/>
        <v>0</v>
      </c>
      <c r="H150" s="11">
        <f t="shared" si="14"/>
        <v>369.67021283500009</v>
      </c>
      <c r="I150" s="11">
        <f t="shared" si="15"/>
        <v>0</v>
      </c>
      <c r="J150" s="11">
        <f t="shared" si="26"/>
        <v>322.88695670000004</v>
      </c>
      <c r="K150" s="11">
        <f t="shared" si="17"/>
        <v>0</v>
      </c>
      <c r="L150" s="11">
        <f t="shared" si="27"/>
        <v>268.67965740000005</v>
      </c>
      <c r="M150" s="11">
        <f t="shared" si="19"/>
        <v>0</v>
      </c>
      <c r="N150" s="11">
        <f t="shared" si="20"/>
        <v>240.39758820000006</v>
      </c>
      <c r="O150" s="11">
        <f t="shared" si="21"/>
        <v>0</v>
      </c>
      <c r="P150" s="11">
        <f t="shared" si="22"/>
        <v>218.00761675000001</v>
      </c>
      <c r="Q150" s="11">
        <f t="shared" si="23"/>
        <v>0</v>
      </c>
      <c r="R150" s="531"/>
      <c r="S150" s="415"/>
    </row>
    <row r="151" spans="1:19" s="180" customFormat="1" ht="13.5" thickBot="1">
      <c r="A151" s="1321"/>
      <c r="B151" s="416"/>
      <c r="C151" s="419" t="s">
        <v>1257</v>
      </c>
      <c r="D151" s="420" t="s">
        <v>1258</v>
      </c>
      <c r="E151" s="889">
        <v>21395.78</v>
      </c>
      <c r="F151" s="8">
        <f t="shared" si="24"/>
        <v>11767.679</v>
      </c>
      <c r="G151" s="10">
        <f t="shared" si="25"/>
        <v>0</v>
      </c>
      <c r="H151" s="11">
        <f t="shared" si="14"/>
        <v>369.15209023</v>
      </c>
      <c r="I151" s="11">
        <f t="shared" si="15"/>
        <v>0</v>
      </c>
      <c r="J151" s="11">
        <f t="shared" si="26"/>
        <v>322.43440459999999</v>
      </c>
      <c r="K151" s="11">
        <f t="shared" si="17"/>
        <v>0</v>
      </c>
      <c r="L151" s="11">
        <f t="shared" si="27"/>
        <v>268.30308120000001</v>
      </c>
      <c r="M151" s="11">
        <f t="shared" si="19"/>
        <v>0</v>
      </c>
      <c r="N151" s="11">
        <f t="shared" si="20"/>
        <v>240.06065160000003</v>
      </c>
      <c r="O151" s="11">
        <f t="shared" si="21"/>
        <v>0</v>
      </c>
      <c r="P151" s="11">
        <f t="shared" si="22"/>
        <v>217.70206149999999</v>
      </c>
      <c r="Q151" s="11">
        <f t="shared" si="23"/>
        <v>0</v>
      </c>
      <c r="R151" s="531"/>
      <c r="S151" s="415"/>
    </row>
    <row r="152" spans="1:19" s="180" customFormat="1" ht="13.5" thickBot="1">
      <c r="A152" s="1321"/>
      <c r="B152" s="416"/>
      <c r="C152" s="419" t="s">
        <v>1259</v>
      </c>
      <c r="D152" s="420" t="s">
        <v>1260</v>
      </c>
      <c r="E152" s="889">
        <v>6604.8</v>
      </c>
      <c r="F152" s="8">
        <f t="shared" si="24"/>
        <v>3632.6400000000003</v>
      </c>
      <c r="G152" s="10">
        <f t="shared" si="25"/>
        <v>0</v>
      </c>
      <c r="H152" s="11">
        <f t="shared" si="14"/>
        <v>113.95591680000001</v>
      </c>
      <c r="I152" s="11">
        <f t="shared" si="15"/>
        <v>0</v>
      </c>
      <c r="J152" s="11">
        <f t="shared" si="26"/>
        <v>99.53433600000001</v>
      </c>
      <c r="K152" s="11">
        <f t="shared" si="17"/>
        <v>0</v>
      </c>
      <c r="L152" s="11">
        <f t="shared" si="27"/>
        <v>82.824192000000011</v>
      </c>
      <c r="M152" s="11">
        <f t="shared" si="19"/>
        <v>0</v>
      </c>
      <c r="N152" s="11">
        <f t="shared" si="20"/>
        <v>74.105856000000017</v>
      </c>
      <c r="O152" s="11">
        <f t="shared" si="21"/>
        <v>0</v>
      </c>
      <c r="P152" s="11">
        <f t="shared" si="22"/>
        <v>67.20384</v>
      </c>
      <c r="Q152" s="11">
        <f t="shared" si="23"/>
        <v>0</v>
      </c>
      <c r="R152" s="531"/>
      <c r="S152" s="415"/>
    </row>
    <row r="153" spans="1:19" s="180" customFormat="1" ht="13.5" thickBot="1">
      <c r="A153" s="1321"/>
      <c r="B153" s="416"/>
      <c r="C153" s="419" t="s">
        <v>1261</v>
      </c>
      <c r="D153" s="420" t="s">
        <v>1262</v>
      </c>
      <c r="E153" s="889">
        <v>20929.71</v>
      </c>
      <c r="F153" s="8">
        <f t="shared" si="24"/>
        <v>11511.3405</v>
      </c>
      <c r="G153" s="10">
        <f t="shared" si="25"/>
        <v>0</v>
      </c>
      <c r="H153" s="11">
        <f t="shared" si="14"/>
        <v>361.11075148500004</v>
      </c>
      <c r="I153" s="11">
        <f t="shared" si="15"/>
        <v>0</v>
      </c>
      <c r="J153" s="11">
        <f t="shared" si="26"/>
        <v>315.41072969999999</v>
      </c>
      <c r="K153" s="11">
        <f t="shared" si="17"/>
        <v>0</v>
      </c>
      <c r="L153" s="11">
        <f t="shared" si="27"/>
        <v>262.4585634</v>
      </c>
      <c r="M153" s="11">
        <f t="shared" si="19"/>
        <v>0</v>
      </c>
      <c r="N153" s="11">
        <f t="shared" si="20"/>
        <v>234.83134620000001</v>
      </c>
      <c r="O153" s="11">
        <f t="shared" si="21"/>
        <v>0</v>
      </c>
      <c r="P153" s="11">
        <f t="shared" si="22"/>
        <v>212.95979925</v>
      </c>
      <c r="Q153" s="11">
        <f t="shared" si="23"/>
        <v>0</v>
      </c>
      <c r="R153" s="531"/>
      <c r="S153" s="415"/>
    </row>
    <row r="154" spans="1:19" s="180" customFormat="1" ht="13.5" thickBot="1">
      <c r="A154" s="1321"/>
      <c r="B154" s="416"/>
      <c r="C154" s="419" t="s">
        <v>3973</v>
      </c>
      <c r="D154" s="420" t="s">
        <v>3974</v>
      </c>
      <c r="E154" s="889">
        <v>6534.53</v>
      </c>
      <c r="F154" s="8">
        <f t="shared" si="24"/>
        <v>3593.9915000000001</v>
      </c>
      <c r="G154" s="10">
        <f t="shared" si="25"/>
        <v>0</v>
      </c>
      <c r="H154" s="11">
        <f t="shared" si="14"/>
        <v>112.743513355</v>
      </c>
      <c r="I154" s="11">
        <f t="shared" si="15"/>
        <v>0</v>
      </c>
      <c r="J154" s="11">
        <f t="shared" si="26"/>
        <v>98.4753671</v>
      </c>
      <c r="K154" s="11">
        <f t="shared" si="17"/>
        <v>0</v>
      </c>
      <c r="L154" s="11">
        <f t="shared" si="27"/>
        <v>81.943006199999999</v>
      </c>
      <c r="M154" s="11">
        <f t="shared" si="19"/>
        <v>0</v>
      </c>
      <c r="N154" s="11">
        <f t="shared" si="20"/>
        <v>73.317426600000005</v>
      </c>
      <c r="O154" s="11">
        <f t="shared" si="21"/>
        <v>0</v>
      </c>
      <c r="P154" s="11">
        <f t="shared" si="22"/>
        <v>66.488842750000003</v>
      </c>
      <c r="Q154" s="11">
        <f t="shared" si="23"/>
        <v>0</v>
      </c>
      <c r="R154" s="531"/>
      <c r="S154" s="415"/>
    </row>
    <row r="155" spans="1:19" s="180" customFormat="1" ht="13.5" thickBot="1">
      <c r="A155" s="1321"/>
      <c r="B155" s="416"/>
      <c r="C155" s="419" t="s">
        <v>3975</v>
      </c>
      <c r="D155" s="420" t="s">
        <v>3976</v>
      </c>
      <c r="E155" s="889">
        <v>43398.58</v>
      </c>
      <c r="F155" s="8">
        <f t="shared" si="24"/>
        <v>23869.219000000005</v>
      </c>
      <c r="G155" s="10">
        <f t="shared" si="25"/>
        <v>0</v>
      </c>
      <c r="H155" s="11">
        <f t="shared" si="14"/>
        <v>748.77740003000019</v>
      </c>
      <c r="I155" s="11">
        <f t="shared" si="15"/>
        <v>0</v>
      </c>
      <c r="J155" s="11">
        <f t="shared" si="26"/>
        <v>654.01660060000017</v>
      </c>
      <c r="K155" s="11">
        <f t="shared" si="17"/>
        <v>0</v>
      </c>
      <c r="L155" s="11">
        <f t="shared" si="27"/>
        <v>544.21819320000009</v>
      </c>
      <c r="M155" s="11">
        <f t="shared" si="19"/>
        <v>0</v>
      </c>
      <c r="N155" s="11">
        <f t="shared" si="20"/>
        <v>486.93206760000015</v>
      </c>
      <c r="O155" s="11">
        <f t="shared" si="21"/>
        <v>0</v>
      </c>
      <c r="P155" s="11">
        <f t="shared" si="22"/>
        <v>441.58055150000007</v>
      </c>
      <c r="Q155" s="11">
        <f t="shared" si="23"/>
        <v>0</v>
      </c>
      <c r="R155" s="531"/>
      <c r="S155" s="415"/>
    </row>
    <row r="156" spans="1:19" s="180" customFormat="1" ht="13.5" thickBot="1">
      <c r="A156" s="1321"/>
      <c r="B156" s="416"/>
      <c r="C156" s="419" t="s">
        <v>1331</v>
      </c>
      <c r="D156" s="420" t="s">
        <v>1332</v>
      </c>
      <c r="E156" s="889">
        <v>3303.3</v>
      </c>
      <c r="F156" s="8">
        <f t="shared" si="24"/>
        <v>1816.8150000000003</v>
      </c>
      <c r="G156" s="10">
        <f t="shared" si="25"/>
        <v>0</v>
      </c>
      <c r="H156" s="11">
        <f t="shared" si="14"/>
        <v>56.993486550000014</v>
      </c>
      <c r="I156" s="11">
        <f t="shared" si="15"/>
        <v>0</v>
      </c>
      <c r="J156" s="11">
        <f t="shared" si="26"/>
        <v>49.78073100000001</v>
      </c>
      <c r="K156" s="11">
        <f t="shared" si="17"/>
        <v>0</v>
      </c>
      <c r="L156" s="11">
        <f t="shared" si="27"/>
        <v>41.423382000000011</v>
      </c>
      <c r="M156" s="11">
        <f t="shared" si="19"/>
        <v>0</v>
      </c>
      <c r="N156" s="11">
        <f t="shared" si="20"/>
        <v>37.063026000000008</v>
      </c>
      <c r="O156" s="11">
        <f t="shared" si="21"/>
        <v>0</v>
      </c>
      <c r="P156" s="11">
        <f t="shared" si="22"/>
        <v>33.6110775</v>
      </c>
      <c r="Q156" s="11">
        <f t="shared" si="23"/>
        <v>0</v>
      </c>
      <c r="R156" s="531"/>
      <c r="S156" s="415"/>
    </row>
    <row r="157" spans="1:19" s="180" customFormat="1" ht="13.5" thickBot="1">
      <c r="A157" s="1321"/>
      <c r="B157" s="416"/>
      <c r="C157" s="419" t="s">
        <v>1349</v>
      </c>
      <c r="D157" s="420" t="s">
        <v>1386</v>
      </c>
      <c r="E157" s="889">
        <v>1189.19</v>
      </c>
      <c r="F157" s="8">
        <f t="shared" si="24"/>
        <v>654.05450000000008</v>
      </c>
      <c r="G157" s="10">
        <f t="shared" si="25"/>
        <v>0</v>
      </c>
      <c r="H157" s="11">
        <f t="shared" ref="H157:H163" si="28">F157*0.03137</f>
        <v>20.517689665000002</v>
      </c>
      <c r="I157" s="11">
        <f t="shared" ref="I157:I163" si="29">H157*B157</f>
        <v>0</v>
      </c>
      <c r="J157" s="11">
        <f t="shared" si="26"/>
        <v>17.921093300000003</v>
      </c>
      <c r="K157" s="11">
        <f t="shared" ref="K157:K163" si="30">J157*B157</f>
        <v>0</v>
      </c>
      <c r="L157" s="11">
        <f t="shared" si="27"/>
        <v>14.912442600000002</v>
      </c>
      <c r="M157" s="11">
        <f t="shared" ref="M157:M163" si="31">L157*B157</f>
        <v>0</v>
      </c>
      <c r="N157" s="11">
        <f t="shared" ref="N157:N163" si="32">F157*0.0204</f>
        <v>13.342711800000002</v>
      </c>
      <c r="O157" s="11">
        <f t="shared" ref="O157:O163" si="33">N157*B157</f>
        <v>0</v>
      </c>
      <c r="P157" s="11">
        <f t="shared" ref="P157:P163" si="34">F157*0.0185</f>
        <v>12.10000825</v>
      </c>
      <c r="Q157" s="11">
        <f t="shared" ref="Q157:Q163" si="35">P157*B157</f>
        <v>0</v>
      </c>
      <c r="R157" s="531"/>
      <c r="S157" s="415"/>
    </row>
    <row r="158" spans="1:19" s="180" customFormat="1" ht="13.5" thickBot="1">
      <c r="A158" s="1321"/>
      <c r="B158" s="416"/>
      <c r="C158" s="417" t="s">
        <v>1265</v>
      </c>
      <c r="D158" s="418" t="s">
        <v>1280</v>
      </c>
      <c r="E158" s="889">
        <v>10828.82</v>
      </c>
      <c r="F158" s="8">
        <f t="shared" si="24"/>
        <v>5955.8510000000006</v>
      </c>
      <c r="G158" s="10">
        <f t="shared" si="25"/>
        <v>0</v>
      </c>
      <c r="H158" s="11">
        <f t="shared" si="28"/>
        <v>186.83504587000002</v>
      </c>
      <c r="I158" s="11">
        <f t="shared" si="29"/>
        <v>0</v>
      </c>
      <c r="J158" s="11">
        <f t="shared" si="26"/>
        <v>163.19031740000003</v>
      </c>
      <c r="K158" s="11">
        <f t="shared" si="30"/>
        <v>0</v>
      </c>
      <c r="L158" s="11">
        <f t="shared" si="27"/>
        <v>135.79340280000002</v>
      </c>
      <c r="M158" s="11">
        <f t="shared" si="31"/>
        <v>0</v>
      </c>
      <c r="N158" s="11">
        <f t="shared" si="32"/>
        <v>121.49936040000001</v>
      </c>
      <c r="O158" s="11">
        <f t="shared" si="33"/>
        <v>0</v>
      </c>
      <c r="P158" s="11">
        <f t="shared" si="34"/>
        <v>110.1832435</v>
      </c>
      <c r="Q158" s="11">
        <f t="shared" si="35"/>
        <v>0</v>
      </c>
      <c r="R158" s="531"/>
      <c r="S158" s="415"/>
    </row>
    <row r="159" spans="1:19" s="180" customFormat="1" ht="13.5" thickBot="1">
      <c r="A159" s="1321"/>
      <c r="B159" s="416"/>
      <c r="C159" s="417" t="s">
        <v>1266</v>
      </c>
      <c r="D159" s="418" t="s">
        <v>1267</v>
      </c>
      <c r="E159" s="889">
        <v>5153.1499999999996</v>
      </c>
      <c r="F159" s="8">
        <f t="shared" si="24"/>
        <v>2834.2325000000001</v>
      </c>
      <c r="G159" s="10">
        <f t="shared" si="25"/>
        <v>0</v>
      </c>
      <c r="H159" s="11">
        <f t="shared" si="28"/>
        <v>88.909873525000009</v>
      </c>
      <c r="I159" s="11">
        <f t="shared" si="29"/>
        <v>0</v>
      </c>
      <c r="J159" s="11">
        <f t="shared" si="26"/>
        <v>77.657970500000005</v>
      </c>
      <c r="K159" s="11">
        <f t="shared" si="30"/>
        <v>0</v>
      </c>
      <c r="L159" s="11">
        <f t="shared" si="27"/>
        <v>64.620501000000004</v>
      </c>
      <c r="M159" s="11">
        <f t="shared" si="31"/>
        <v>0</v>
      </c>
      <c r="N159" s="11">
        <f t="shared" si="32"/>
        <v>57.818343000000006</v>
      </c>
      <c r="O159" s="11">
        <f t="shared" si="33"/>
        <v>0</v>
      </c>
      <c r="P159" s="11">
        <f t="shared" si="34"/>
        <v>52.43330125</v>
      </c>
      <c r="Q159" s="11">
        <f t="shared" si="35"/>
        <v>0</v>
      </c>
      <c r="R159" s="531"/>
      <c r="S159" s="415"/>
    </row>
    <row r="160" spans="1:19" s="180" customFormat="1" ht="13.5" thickBot="1">
      <c r="A160" s="1321"/>
      <c r="B160" s="416"/>
      <c r="C160" s="419" t="s">
        <v>1268</v>
      </c>
      <c r="D160" s="420" t="s">
        <v>1269</v>
      </c>
      <c r="E160" s="889">
        <v>24034.82</v>
      </c>
      <c r="F160" s="8">
        <f t="shared" si="24"/>
        <v>13219.151000000002</v>
      </c>
      <c r="G160" s="10">
        <f t="shared" si="25"/>
        <v>0</v>
      </c>
      <c r="H160" s="11">
        <f t="shared" si="28"/>
        <v>414.68476687000009</v>
      </c>
      <c r="I160" s="11">
        <f t="shared" si="29"/>
        <v>0</v>
      </c>
      <c r="J160" s="11">
        <f t="shared" si="26"/>
        <v>362.20473740000006</v>
      </c>
      <c r="K160" s="11">
        <f t="shared" si="30"/>
        <v>0</v>
      </c>
      <c r="L160" s="11">
        <f t="shared" si="27"/>
        <v>301.39664280000005</v>
      </c>
      <c r="M160" s="11">
        <f t="shared" si="31"/>
        <v>0</v>
      </c>
      <c r="N160" s="11">
        <f t="shared" si="32"/>
        <v>269.67068040000004</v>
      </c>
      <c r="O160" s="11">
        <f t="shared" si="33"/>
        <v>0</v>
      </c>
      <c r="P160" s="11">
        <f t="shared" si="34"/>
        <v>244.55429350000003</v>
      </c>
      <c r="Q160" s="11">
        <f t="shared" si="35"/>
        <v>0</v>
      </c>
      <c r="R160" s="531"/>
      <c r="S160" s="415"/>
    </row>
    <row r="161" spans="1:19" s="180" customFormat="1" ht="13.5" thickBot="1">
      <c r="A161" s="1321"/>
      <c r="B161" s="416"/>
      <c r="C161" s="417" t="s">
        <v>4020</v>
      </c>
      <c r="D161" s="418" t="s">
        <v>1350</v>
      </c>
      <c r="E161" s="889">
        <v>4225.82</v>
      </c>
      <c r="F161" s="8">
        <f t="shared" si="24"/>
        <v>2324.201</v>
      </c>
      <c r="G161" s="10">
        <f t="shared" si="25"/>
        <v>0</v>
      </c>
      <c r="H161" s="11">
        <f t="shared" si="28"/>
        <v>72.910185370000008</v>
      </c>
      <c r="I161" s="11">
        <f t="shared" si="29"/>
        <v>0</v>
      </c>
      <c r="J161" s="11">
        <f t="shared" si="26"/>
        <v>63.683107400000004</v>
      </c>
      <c r="K161" s="11">
        <f t="shared" si="30"/>
        <v>0</v>
      </c>
      <c r="L161" s="11">
        <f t="shared" si="27"/>
        <v>52.991782800000003</v>
      </c>
      <c r="M161" s="11">
        <f t="shared" si="31"/>
        <v>0</v>
      </c>
      <c r="N161" s="11">
        <f t="shared" si="32"/>
        <v>47.413700400000003</v>
      </c>
      <c r="O161" s="11">
        <f t="shared" si="33"/>
        <v>0</v>
      </c>
      <c r="P161" s="11">
        <f t="shared" si="34"/>
        <v>42.997718499999998</v>
      </c>
      <c r="Q161" s="11">
        <f t="shared" si="35"/>
        <v>0</v>
      </c>
      <c r="R161" s="531"/>
      <c r="S161" s="415"/>
    </row>
    <row r="162" spans="1:19" s="180" customFormat="1" ht="13.5" thickBot="1">
      <c r="A162" s="1321"/>
      <c r="B162" s="416"/>
      <c r="C162" s="417" t="s">
        <v>1333</v>
      </c>
      <c r="D162" s="418" t="s">
        <v>1334</v>
      </c>
      <c r="E162" s="889">
        <v>1189.19</v>
      </c>
      <c r="F162" s="8">
        <f t="shared" si="24"/>
        <v>654.05450000000008</v>
      </c>
      <c r="G162" s="10">
        <f t="shared" si="25"/>
        <v>0</v>
      </c>
      <c r="H162" s="11">
        <f t="shared" si="28"/>
        <v>20.517689665000002</v>
      </c>
      <c r="I162" s="11">
        <f t="shared" si="29"/>
        <v>0</v>
      </c>
      <c r="J162" s="11">
        <f t="shared" si="26"/>
        <v>17.921093300000003</v>
      </c>
      <c r="K162" s="11">
        <f t="shared" si="30"/>
        <v>0</v>
      </c>
      <c r="L162" s="11">
        <f t="shared" si="27"/>
        <v>14.912442600000002</v>
      </c>
      <c r="M162" s="11">
        <f t="shared" si="31"/>
        <v>0</v>
      </c>
      <c r="N162" s="11">
        <f t="shared" si="32"/>
        <v>13.342711800000002</v>
      </c>
      <c r="O162" s="11">
        <f t="shared" si="33"/>
        <v>0</v>
      </c>
      <c r="P162" s="11">
        <f t="shared" si="34"/>
        <v>12.10000825</v>
      </c>
      <c r="Q162" s="11">
        <f t="shared" si="35"/>
        <v>0</v>
      </c>
      <c r="R162" s="531"/>
      <c r="S162" s="415"/>
    </row>
    <row r="163" spans="1:19" s="180" customFormat="1" ht="13.5" thickBot="1">
      <c r="A163" s="1321"/>
      <c r="B163" s="416"/>
      <c r="C163" s="419" t="s">
        <v>1335</v>
      </c>
      <c r="D163" s="420" t="s">
        <v>1336</v>
      </c>
      <c r="E163" s="889">
        <v>766.36</v>
      </c>
      <c r="F163" s="8">
        <f t="shared" si="24"/>
        <v>421.49800000000005</v>
      </c>
      <c r="G163" s="10">
        <f t="shared" si="25"/>
        <v>0</v>
      </c>
      <c r="H163" s="11">
        <f t="shared" si="28"/>
        <v>13.222392260000003</v>
      </c>
      <c r="I163" s="11">
        <f t="shared" si="29"/>
        <v>0</v>
      </c>
      <c r="J163" s="11">
        <f t="shared" si="26"/>
        <v>11.549045200000002</v>
      </c>
      <c r="K163" s="11">
        <f t="shared" si="30"/>
        <v>0</v>
      </c>
      <c r="L163" s="11">
        <f t="shared" si="27"/>
        <v>9.6101544000000008</v>
      </c>
      <c r="M163" s="11">
        <f t="shared" si="31"/>
        <v>0</v>
      </c>
      <c r="N163" s="11">
        <f t="shared" si="32"/>
        <v>8.5985592000000022</v>
      </c>
      <c r="O163" s="11">
        <f t="shared" si="33"/>
        <v>0</v>
      </c>
      <c r="P163" s="11">
        <f t="shared" si="34"/>
        <v>7.7977130000000008</v>
      </c>
      <c r="Q163" s="11">
        <f t="shared" si="35"/>
        <v>0</v>
      </c>
      <c r="R163" s="531"/>
      <c r="S163" s="415"/>
    </row>
    <row r="164" spans="1:19" s="421" customFormat="1">
      <c r="A164" s="414"/>
      <c r="D164" s="1303" t="s">
        <v>65</v>
      </c>
      <c r="E164" s="1304"/>
      <c r="F164" s="1305"/>
      <c r="G164" s="51">
        <f>SUM(G32:G163)+G29</f>
        <v>0</v>
      </c>
      <c r="H164" s="178" t="s">
        <v>154</v>
      </c>
      <c r="I164" s="51">
        <f>SUM(I32:I163)+I29</f>
        <v>0</v>
      </c>
      <c r="J164" s="178" t="s">
        <v>155</v>
      </c>
      <c r="K164" s="51">
        <f>SUM(K32:K163)+K29</f>
        <v>0</v>
      </c>
      <c r="L164" s="178" t="s">
        <v>156</v>
      </c>
      <c r="M164" s="51">
        <f>SUM(M32:M163)+M29</f>
        <v>0</v>
      </c>
      <c r="N164" s="178" t="s">
        <v>1337</v>
      </c>
      <c r="O164" s="51">
        <f>SUM(O32:O163)+O29</f>
        <v>0</v>
      </c>
      <c r="P164" s="178" t="s">
        <v>1338</v>
      </c>
      <c r="Q164" s="51">
        <f>SUM(Q32:Q163)+Q29</f>
        <v>0</v>
      </c>
    </row>
    <row r="165" spans="1:19" s="421" customFormat="1" ht="12.75">
      <c r="F165" s="422"/>
      <c r="G165" s="422"/>
      <c r="H165" s="423"/>
    </row>
    <row r="166" spans="1:19" s="421" customFormat="1" ht="12.75">
      <c r="F166" s="422"/>
      <c r="G166" s="422"/>
    </row>
    <row r="167" spans="1:19" s="421" customFormat="1" ht="12.75">
      <c r="F167" s="422"/>
      <c r="G167" s="422"/>
    </row>
    <row r="168" spans="1:19" s="421" customFormat="1" ht="12.75">
      <c r="F168" s="422"/>
      <c r="G168" s="422"/>
    </row>
    <row r="169" spans="1:19" s="421" customFormat="1" ht="12.75">
      <c r="F169" s="422"/>
      <c r="G169" s="422"/>
    </row>
    <row r="170" spans="1:19" s="421" customFormat="1" ht="12.75">
      <c r="F170" s="422"/>
      <c r="G170" s="422"/>
    </row>
    <row r="171" spans="1:19" s="421" customFormat="1" ht="12.75">
      <c r="F171" s="422"/>
      <c r="G171" s="422"/>
    </row>
    <row r="172" spans="1:19" s="421" customFormat="1" ht="12.75">
      <c r="F172" s="422"/>
      <c r="G172" s="422"/>
    </row>
    <row r="173" spans="1:19" s="421" customFormat="1" ht="12.75">
      <c r="F173" s="422"/>
      <c r="G173" s="422"/>
    </row>
    <row r="174" spans="1:19" s="421" customFormat="1" ht="12.75">
      <c r="F174" s="422"/>
      <c r="G174" s="422"/>
    </row>
    <row r="175" spans="1:19" s="421" customFormat="1" ht="12.75">
      <c r="F175" s="422"/>
      <c r="G175" s="422"/>
    </row>
    <row r="176" spans="1:19" s="421" customFormat="1" ht="12.75">
      <c r="F176" s="422"/>
      <c r="G176" s="422"/>
    </row>
    <row r="177" spans="2:7" s="421" customFormat="1" ht="12.75">
      <c r="F177" s="422"/>
      <c r="G177" s="422"/>
    </row>
    <row r="178" spans="2:7" s="421" customFormat="1" ht="12.75">
      <c r="F178" s="422"/>
      <c r="G178" s="422"/>
    </row>
    <row r="179" spans="2:7" s="421" customFormat="1" ht="12.75">
      <c r="F179" s="422"/>
      <c r="G179" s="422"/>
    </row>
    <row r="180" spans="2:7" s="421" customFormat="1" ht="12.75">
      <c r="F180" s="422"/>
      <c r="G180" s="422"/>
    </row>
    <row r="181" spans="2:7" s="421" customFormat="1" ht="12.75">
      <c r="B181" s="179"/>
      <c r="C181" s="179"/>
      <c r="F181" s="422"/>
      <c r="G181" s="422"/>
    </row>
    <row r="182" spans="2:7" s="421" customFormat="1" ht="12.75">
      <c r="F182" s="422"/>
      <c r="G182" s="422"/>
    </row>
    <row r="183" spans="2:7" s="421" customFormat="1" ht="12.75">
      <c r="F183" s="422"/>
      <c r="G183" s="422"/>
    </row>
    <row r="184" spans="2:7" s="421" customFormat="1" ht="12.75">
      <c r="F184" s="422"/>
      <c r="G184" s="422"/>
    </row>
    <row r="185" spans="2:7" s="421" customFormat="1" ht="12.75">
      <c r="F185" s="422"/>
      <c r="G185" s="422"/>
    </row>
    <row r="186" spans="2:7" s="421" customFormat="1" ht="12.75">
      <c r="F186" s="422"/>
      <c r="G186" s="422"/>
    </row>
    <row r="187" spans="2:7" s="421" customFormat="1" ht="12.75">
      <c r="F187" s="422"/>
      <c r="G187" s="422"/>
    </row>
    <row r="188" spans="2:7" s="421" customFormat="1" ht="12.75">
      <c r="F188" s="422"/>
      <c r="G188" s="422"/>
    </row>
    <row r="189" spans="2:7" s="421" customFormat="1" ht="12.75">
      <c r="F189" s="422"/>
      <c r="G189" s="422"/>
    </row>
    <row r="190" spans="2:7" s="421" customFormat="1" ht="12.75">
      <c r="F190" s="422"/>
      <c r="G190" s="422"/>
    </row>
    <row r="191" spans="2:7" s="421" customFormat="1" ht="12.75">
      <c r="F191" s="422"/>
      <c r="G191" s="422"/>
    </row>
    <row r="192" spans="2:7" s="421" customFormat="1" ht="12.75">
      <c r="F192" s="422"/>
      <c r="G192" s="422"/>
    </row>
    <row r="193" spans="6:7" s="421" customFormat="1" ht="12.75">
      <c r="F193" s="422"/>
      <c r="G193" s="422"/>
    </row>
    <row r="194" spans="6:7" s="421" customFormat="1" ht="12.75">
      <c r="F194" s="422"/>
      <c r="G194" s="422"/>
    </row>
    <row r="195" spans="6:7" s="421" customFormat="1" ht="12.75">
      <c r="F195" s="422"/>
      <c r="G195" s="422"/>
    </row>
    <row r="196" spans="6:7" s="421" customFormat="1" ht="12.75">
      <c r="F196" s="422"/>
      <c r="G196" s="422"/>
    </row>
    <row r="197" spans="6:7" s="421" customFormat="1" ht="12.75">
      <c r="F197" s="422"/>
      <c r="G197" s="422"/>
    </row>
    <row r="198" spans="6:7" s="421" customFormat="1" ht="12.75">
      <c r="F198" s="422"/>
      <c r="G198" s="422"/>
    </row>
    <row r="199" spans="6:7" s="421" customFormat="1" ht="12.75">
      <c r="F199" s="422"/>
      <c r="G199" s="422"/>
    </row>
    <row r="200" spans="6:7" s="421" customFormat="1" ht="12.75">
      <c r="F200" s="422"/>
      <c r="G200" s="422"/>
    </row>
    <row r="201" spans="6:7" s="421" customFormat="1" ht="12.75">
      <c r="F201" s="330"/>
      <c r="G201" s="330"/>
    </row>
    <row r="202" spans="6:7" s="421" customFormat="1" ht="12.75">
      <c r="F202" s="330"/>
      <c r="G202" s="330"/>
    </row>
    <row r="203" spans="6:7" s="421" customFormat="1" ht="12.75">
      <c r="F203" s="330"/>
      <c r="G203" s="330"/>
    </row>
    <row r="204" spans="6:7" s="421" customFormat="1" ht="12.75">
      <c r="F204" s="330"/>
      <c r="G204" s="330"/>
    </row>
    <row r="205" spans="6:7" s="421" customFormat="1" ht="12.75">
      <c r="F205" s="330"/>
      <c r="G205" s="330"/>
    </row>
    <row r="206" spans="6:7" s="421" customFormat="1" ht="12.75">
      <c r="F206" s="330"/>
      <c r="G206" s="330"/>
    </row>
    <row r="207" spans="6:7" s="421" customFormat="1" ht="12.75">
      <c r="F207" s="330"/>
      <c r="G207" s="330"/>
    </row>
    <row r="208" spans="6:7" s="421" customFormat="1" ht="12.75">
      <c r="F208" s="330"/>
      <c r="G208" s="330"/>
    </row>
    <row r="209" spans="6:7" s="421" customFormat="1" ht="12.75">
      <c r="F209" s="330"/>
      <c r="G209" s="330"/>
    </row>
    <row r="210" spans="6:7" s="421" customFormat="1" ht="12.75">
      <c r="F210" s="330"/>
      <c r="G210" s="330"/>
    </row>
    <row r="211" spans="6:7" s="421" customFormat="1" ht="12.75">
      <c r="F211" s="330"/>
      <c r="G211" s="330"/>
    </row>
    <row r="212" spans="6:7" s="421" customFormat="1" ht="12.75">
      <c r="F212" s="330"/>
      <c r="G212" s="330"/>
    </row>
    <row r="213" spans="6:7" s="421" customFormat="1" ht="12.75">
      <c r="F213" s="330"/>
      <c r="G213" s="330"/>
    </row>
    <row r="214" spans="6:7" s="421" customFormat="1" ht="12.75">
      <c r="F214" s="330"/>
      <c r="G214" s="330"/>
    </row>
    <row r="215" spans="6:7" s="421" customFormat="1" ht="12.75">
      <c r="F215" s="330"/>
      <c r="G215" s="330"/>
    </row>
    <row r="216" spans="6:7" s="421" customFormat="1" ht="12.75">
      <c r="F216" s="330"/>
      <c r="G216" s="330"/>
    </row>
    <row r="217" spans="6:7" s="421" customFormat="1" ht="12.75">
      <c r="F217" s="330"/>
      <c r="G217" s="330"/>
    </row>
    <row r="218" spans="6:7" s="421" customFormat="1" ht="12.75">
      <c r="F218" s="330"/>
      <c r="G218" s="330"/>
    </row>
    <row r="219" spans="6:7" s="421" customFormat="1" ht="12.75">
      <c r="F219" s="330"/>
      <c r="G219" s="330"/>
    </row>
    <row r="220" spans="6:7" s="421" customFormat="1" ht="12.75">
      <c r="F220" s="330"/>
      <c r="G220" s="330"/>
    </row>
    <row r="221" spans="6:7" s="421" customFormat="1" ht="12.75">
      <c r="F221" s="330"/>
      <c r="G221" s="330"/>
    </row>
    <row r="222" spans="6:7" s="421" customFormat="1" ht="12.75">
      <c r="F222" s="330"/>
      <c r="G222" s="330"/>
    </row>
    <row r="223" spans="6:7" s="421" customFormat="1" ht="12.75">
      <c r="F223" s="330"/>
      <c r="G223" s="330"/>
    </row>
    <row r="224" spans="6:7" s="421" customFormat="1" ht="12.75">
      <c r="F224" s="330"/>
      <c r="G224" s="330"/>
    </row>
    <row r="225" spans="6:7" s="421" customFormat="1" ht="12.75">
      <c r="F225" s="330"/>
      <c r="G225" s="330"/>
    </row>
    <row r="226" spans="6:7" s="421" customFormat="1" ht="12.75">
      <c r="F226" s="330"/>
      <c r="G226" s="330"/>
    </row>
    <row r="227" spans="6:7" s="421" customFormat="1" ht="12.75">
      <c r="F227" s="330"/>
      <c r="G227" s="330"/>
    </row>
    <row r="228" spans="6:7" s="421" customFormat="1" ht="12.75">
      <c r="F228" s="330"/>
      <c r="G228" s="330"/>
    </row>
    <row r="229" spans="6:7" s="421" customFormat="1" ht="12.75">
      <c r="F229" s="330"/>
      <c r="G229" s="330"/>
    </row>
    <row r="230" spans="6:7" s="421" customFormat="1" ht="12.75">
      <c r="F230" s="330"/>
      <c r="G230" s="330"/>
    </row>
    <row r="231" spans="6:7" s="421" customFormat="1" ht="12.75">
      <c r="F231" s="330"/>
      <c r="G231" s="330"/>
    </row>
    <row r="232" spans="6:7" s="421" customFormat="1" ht="12.75">
      <c r="F232" s="330"/>
      <c r="G232" s="330"/>
    </row>
    <row r="233" spans="6:7" s="421" customFormat="1" ht="12.75">
      <c r="F233" s="330"/>
      <c r="G233" s="330"/>
    </row>
    <row r="234" spans="6:7" s="421" customFormat="1" ht="12.75">
      <c r="F234" s="330"/>
      <c r="G234" s="330"/>
    </row>
    <row r="235" spans="6:7" s="421" customFormat="1" ht="12.75">
      <c r="F235" s="330"/>
      <c r="G235" s="330"/>
    </row>
    <row r="236" spans="6:7" s="421" customFormat="1" ht="12.75">
      <c r="F236" s="330"/>
      <c r="G236" s="330"/>
    </row>
    <row r="237" spans="6:7" s="421" customFormat="1" ht="12.75">
      <c r="F237" s="330"/>
      <c r="G237" s="330"/>
    </row>
    <row r="238" spans="6:7" s="421" customFormat="1" ht="12.75">
      <c r="F238" s="330"/>
      <c r="G238" s="330"/>
    </row>
    <row r="239" spans="6:7" s="421" customFormat="1" ht="12.75">
      <c r="F239" s="330"/>
      <c r="G239" s="330"/>
    </row>
    <row r="240" spans="6:7" s="421" customFormat="1" ht="12.75">
      <c r="F240" s="330"/>
      <c r="G240" s="330"/>
    </row>
    <row r="241" spans="6:7" s="421" customFormat="1" ht="12.75">
      <c r="F241" s="330"/>
      <c r="G241" s="330"/>
    </row>
    <row r="242" spans="6:7" s="421" customFormat="1" ht="12.75">
      <c r="F242" s="330"/>
      <c r="G242" s="330"/>
    </row>
    <row r="243" spans="6:7" s="421" customFormat="1" ht="12.75">
      <c r="F243" s="330"/>
      <c r="G243" s="330"/>
    </row>
    <row r="244" spans="6:7" s="421" customFormat="1" ht="12.75">
      <c r="F244" s="330"/>
      <c r="G244" s="330"/>
    </row>
    <row r="245" spans="6:7" s="421" customFormat="1" ht="12.75">
      <c r="F245" s="330"/>
      <c r="G245" s="330"/>
    </row>
    <row r="246" spans="6:7" s="421" customFormat="1" ht="12.75">
      <c r="F246" s="330"/>
      <c r="G246" s="330"/>
    </row>
    <row r="247" spans="6:7" s="421" customFormat="1" ht="12.75">
      <c r="F247" s="330"/>
      <c r="G247" s="330"/>
    </row>
    <row r="248" spans="6:7" s="421" customFormat="1" ht="12.75">
      <c r="F248" s="330"/>
      <c r="G248" s="330"/>
    </row>
    <row r="249" spans="6:7" s="421" customFormat="1" ht="12.75">
      <c r="F249" s="330"/>
      <c r="G249" s="330"/>
    </row>
    <row r="250" spans="6:7" s="421" customFormat="1" ht="12.75">
      <c r="F250" s="330"/>
      <c r="G250" s="330"/>
    </row>
    <row r="251" spans="6:7" s="421" customFormat="1" ht="12.75">
      <c r="F251" s="330"/>
      <c r="G251" s="330"/>
    </row>
    <row r="252" spans="6:7" s="421" customFormat="1" ht="12.75">
      <c r="F252" s="330"/>
      <c r="G252" s="330"/>
    </row>
    <row r="253" spans="6:7" s="421" customFormat="1" ht="13.5" thickBot="1">
      <c r="F253" s="330"/>
      <c r="G253" s="330"/>
    </row>
    <row r="254" spans="6:7" s="421" customFormat="1" ht="12.75">
      <c r="F254" s="330"/>
      <c r="G254" s="330"/>
    </row>
    <row r="255" spans="6:7" s="421" customFormat="1" ht="12.75">
      <c r="F255" s="330"/>
      <c r="G255" s="330"/>
    </row>
    <row r="256" spans="6:7" s="421" customFormat="1" ht="12.75">
      <c r="F256" s="330"/>
      <c r="G256" s="330"/>
    </row>
    <row r="257" spans="1:17" s="421" customFormat="1" ht="12.75">
      <c r="F257" s="330"/>
      <c r="G257" s="330"/>
    </row>
    <row r="258" spans="1:17" s="421" customFormat="1" ht="12.75">
      <c r="F258" s="330"/>
      <c r="G258" s="330"/>
    </row>
    <row r="259" spans="1:17" s="421" customFormat="1" ht="12.75">
      <c r="F259" s="330"/>
      <c r="G259" s="330"/>
    </row>
    <row r="260" spans="1:17" s="421" customFormat="1" ht="12.75">
      <c r="F260" s="330"/>
      <c r="G260" s="330"/>
    </row>
    <row r="261" spans="1:17" s="421" customFormat="1" ht="12.75">
      <c r="F261" s="330"/>
      <c r="G261" s="330"/>
    </row>
    <row r="262" spans="1:17" s="421" customFormat="1" ht="12.75">
      <c r="F262" s="330"/>
      <c r="G262" s="330"/>
    </row>
    <row r="263" spans="1:17" s="421" customFormat="1" ht="12.75">
      <c r="F263" s="330"/>
      <c r="G263" s="330"/>
    </row>
    <row r="264" spans="1:17" s="421" customFormat="1" ht="12.75">
      <c r="F264" s="330"/>
      <c r="G264" s="330"/>
    </row>
    <row r="265" spans="1:17">
      <c r="A265" s="421"/>
      <c r="B265" s="421"/>
      <c r="C265" s="421"/>
      <c r="D265" s="421"/>
      <c r="E265" s="421"/>
      <c r="F265" s="330"/>
      <c r="G265" s="330"/>
      <c r="H265" s="421"/>
      <c r="I265" s="421"/>
      <c r="J265" s="421"/>
      <c r="K265" s="421"/>
      <c r="L265" s="421"/>
      <c r="M265" s="421"/>
      <c r="N265" s="421"/>
      <c r="O265" s="421"/>
      <c r="P265" s="421"/>
      <c r="Q265" s="421"/>
    </row>
    <row r="266" spans="1:17">
      <c r="A266" s="421"/>
      <c r="B266" s="421"/>
      <c r="C266" s="421"/>
      <c r="D266" s="421"/>
      <c r="E266" s="421"/>
      <c r="F266" s="330"/>
      <c r="G266" s="330"/>
      <c r="H266" s="421"/>
      <c r="I266" s="421"/>
      <c r="J266" s="421"/>
      <c r="K266" s="421"/>
      <c r="L266" s="421"/>
      <c r="M266" s="421"/>
      <c r="N266" s="421"/>
      <c r="O266" s="421"/>
      <c r="P266" s="421"/>
      <c r="Q266" s="421"/>
    </row>
    <row r="267" spans="1:17">
      <c r="A267" s="421"/>
      <c r="B267" s="421"/>
      <c r="C267" s="421"/>
      <c r="D267" s="421"/>
      <c r="E267" s="421"/>
      <c r="F267" s="330"/>
      <c r="G267" s="330"/>
      <c r="I267" s="421"/>
      <c r="J267" s="421"/>
      <c r="K267" s="421"/>
      <c r="L267" s="421"/>
      <c r="M267" s="421"/>
      <c r="N267" s="421"/>
      <c r="O267" s="421"/>
      <c r="P267" s="421"/>
      <c r="Q267" s="421"/>
    </row>
  </sheetData>
  <mergeCells count="18">
    <mergeCell ref="F27:G27"/>
    <mergeCell ref="H27:Q27"/>
    <mergeCell ref="A4:O4"/>
    <mergeCell ref="A5:O5"/>
    <mergeCell ref="F8:I8"/>
    <mergeCell ref="A23:O23"/>
    <mergeCell ref="A24:O24"/>
    <mergeCell ref="O29:O30"/>
    <mergeCell ref="Q29:Q30"/>
    <mergeCell ref="A31:Q31"/>
    <mergeCell ref="A32:A163"/>
    <mergeCell ref="D164:F164"/>
    <mergeCell ref="A29:A30"/>
    <mergeCell ref="B29:B30"/>
    <mergeCell ref="G29:G30"/>
    <mergeCell ref="I29:I30"/>
    <mergeCell ref="K29:K30"/>
    <mergeCell ref="M29:M30"/>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A49F-1DEB-4B6F-AB75-D61A0033DE64}">
  <sheetPr>
    <tabColor indexed="62"/>
  </sheetPr>
  <dimension ref="A1:S267"/>
  <sheetViews>
    <sheetView topLeftCell="B1" zoomScale="80" zoomScaleNormal="80" workbookViewId="0">
      <selection activeCell="J14" sqref="J14"/>
    </sheetView>
  </sheetViews>
  <sheetFormatPr defaultColWidth="8.85546875" defaultRowHeight="15.75"/>
  <cols>
    <col min="1" max="1" width="14" style="139" customWidth="1"/>
    <col min="2" max="2" width="8.7109375" style="139" customWidth="1"/>
    <col min="3" max="3" width="21.28515625" style="139" customWidth="1"/>
    <col min="4" max="4" width="51" style="139" customWidth="1"/>
    <col min="5" max="5" width="17" style="139" customWidth="1"/>
    <col min="6" max="6" width="18.28515625" style="333" customWidth="1"/>
    <col min="7" max="7" width="16" style="333"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315" t="s">
        <v>1351</v>
      </c>
      <c r="B4" s="1020"/>
      <c r="C4" s="1020"/>
      <c r="D4" s="1020"/>
      <c r="E4" s="1020"/>
      <c r="F4" s="1020"/>
      <c r="G4" s="1020"/>
      <c r="H4" s="1020"/>
      <c r="I4" s="1020"/>
      <c r="J4" s="1020"/>
      <c r="K4" s="1020"/>
      <c r="L4" s="1020"/>
      <c r="M4" s="1020"/>
      <c r="N4" s="1020"/>
      <c r="O4" s="1020"/>
      <c r="P4" s="256"/>
      <c r="Q4" s="256"/>
    </row>
    <row r="5" spans="1:17" s="149" customFormat="1" ht="46.5" customHeight="1">
      <c r="A5" s="1316" t="s">
        <v>1352</v>
      </c>
      <c r="B5" s="1045"/>
      <c r="C5" s="1045"/>
      <c r="D5" s="1045"/>
      <c r="E5" s="1045"/>
      <c r="F5" s="1045"/>
      <c r="G5" s="1045"/>
      <c r="H5" s="1045"/>
      <c r="I5" s="1045"/>
      <c r="J5" s="1045"/>
      <c r="K5" s="1045"/>
      <c r="L5" s="1045"/>
      <c r="M5" s="1045"/>
      <c r="N5" s="1045"/>
      <c r="O5" s="1045"/>
      <c r="P5" s="266"/>
      <c r="Q5" s="266"/>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317" t="s">
        <v>0</v>
      </c>
      <c r="G8" s="1317"/>
      <c r="H8" s="1317"/>
      <c r="I8" s="1317"/>
      <c r="J8" s="139"/>
      <c r="K8" s="139"/>
      <c r="L8" s="139"/>
    </row>
    <row r="9" spans="1:17" s="148" customFormat="1" ht="14.25">
      <c r="F9" s="182" t="s">
        <v>261</v>
      </c>
      <c r="G9" s="265" t="s">
        <v>1283</v>
      </c>
      <c r="I9" s="159"/>
      <c r="J9" s="159"/>
      <c r="L9" s="159"/>
    </row>
    <row r="10" spans="1:17" s="148" customFormat="1" ht="14.25">
      <c r="F10" s="182" t="s">
        <v>7</v>
      </c>
      <c r="G10" s="408" t="s">
        <v>1353</v>
      </c>
      <c r="I10" s="159"/>
      <c r="J10" s="159"/>
      <c r="L10" s="159"/>
    </row>
    <row r="11" spans="1:17" s="148" customFormat="1" ht="14.25">
      <c r="F11" s="182" t="s">
        <v>8</v>
      </c>
      <c r="G11" s="408" t="s">
        <v>1354</v>
      </c>
      <c r="I11" s="159"/>
      <c r="J11" s="159"/>
      <c r="L11" s="159"/>
    </row>
    <row r="12" spans="1:17" s="148" customFormat="1" ht="14.25">
      <c r="F12" s="182" t="s">
        <v>10</v>
      </c>
      <c r="G12" s="408" t="s">
        <v>1286</v>
      </c>
      <c r="I12" s="159"/>
      <c r="J12" s="159"/>
      <c r="L12" s="159"/>
    </row>
    <row r="13" spans="1:17" s="148" customFormat="1" ht="14.25">
      <c r="D13" s="160"/>
      <c r="E13" s="160"/>
      <c r="F13" s="182" t="s">
        <v>185</v>
      </c>
      <c r="G13" s="408" t="s">
        <v>1343</v>
      </c>
      <c r="I13" s="159"/>
      <c r="J13" s="159"/>
      <c r="L13" s="159"/>
    </row>
    <row r="14" spans="1:17" s="148" customFormat="1" ht="14.25">
      <c r="F14" s="182"/>
      <c r="G14" s="408" t="s">
        <v>1344</v>
      </c>
      <c r="I14" s="159"/>
      <c r="J14" s="159"/>
      <c r="L14" s="159"/>
    </row>
    <row r="15" spans="1:17" s="148" customFormat="1" ht="14.25">
      <c r="F15" s="182" t="s">
        <v>14</v>
      </c>
      <c r="G15" s="408" t="s">
        <v>272</v>
      </c>
      <c r="I15" s="159"/>
      <c r="J15" s="159"/>
      <c r="L15" s="887"/>
    </row>
    <row r="16" spans="1:17" s="148" customFormat="1" ht="14.25">
      <c r="F16" s="182" t="s">
        <v>18</v>
      </c>
      <c r="G16" s="408" t="s">
        <v>1289</v>
      </c>
      <c r="I16" s="162"/>
      <c r="J16" s="162"/>
      <c r="L16" s="162"/>
    </row>
    <row r="17" spans="1:19" s="148" customFormat="1" ht="14.25">
      <c r="F17" s="182" t="s">
        <v>276</v>
      </c>
      <c r="G17" s="408" t="s">
        <v>1290</v>
      </c>
      <c r="I17" s="162"/>
      <c r="J17" s="162"/>
      <c r="L17" s="162"/>
    </row>
    <row r="18" spans="1:19" s="148" customFormat="1" ht="14.25">
      <c r="F18" s="182" t="s">
        <v>26</v>
      </c>
      <c r="G18" s="408" t="s">
        <v>1291</v>
      </c>
      <c r="I18" s="162"/>
      <c r="J18" s="162"/>
      <c r="L18" s="162"/>
    </row>
    <row r="19" spans="1:19" s="148" customFormat="1" ht="14.25">
      <c r="F19" s="182" t="s">
        <v>28</v>
      </c>
      <c r="G19" s="408" t="s">
        <v>1292</v>
      </c>
      <c r="I19" s="162"/>
      <c r="J19" s="162"/>
      <c r="L19" s="162"/>
    </row>
    <row r="20" spans="1:19" s="148" customFormat="1" ht="14.25">
      <c r="F20" s="182"/>
      <c r="G20" s="408"/>
      <c r="I20" s="162"/>
      <c r="J20" s="162"/>
      <c r="L20" s="162"/>
    </row>
    <row r="21" spans="1:19" s="148" customFormat="1" ht="14.25">
      <c r="F21" s="182"/>
      <c r="G21" s="408"/>
      <c r="I21" s="162"/>
      <c r="J21" s="162"/>
      <c r="L21" s="162"/>
    </row>
    <row r="22" spans="1:19" s="148" customFormat="1" ht="14.25">
      <c r="D22" s="165"/>
      <c r="E22" s="165"/>
      <c r="F22" s="182"/>
      <c r="G22" s="409"/>
      <c r="K22" s="162"/>
    </row>
    <row r="23" spans="1:19" s="265" customFormat="1" ht="16.5" thickBot="1">
      <c r="A23" s="1179" t="s">
        <v>30</v>
      </c>
      <c r="B23" s="1322"/>
      <c r="C23" s="1322"/>
      <c r="D23" s="1322"/>
      <c r="E23" s="1322"/>
      <c r="F23" s="1322"/>
      <c r="G23" s="1322"/>
      <c r="H23" s="1322"/>
      <c r="I23" s="1322"/>
      <c r="J23" s="1322"/>
      <c r="K23" s="1322"/>
      <c r="L23" s="1322"/>
      <c r="M23" s="1322"/>
      <c r="N23" s="1020"/>
      <c r="O23" s="1030"/>
      <c r="P23" s="256"/>
      <c r="Q23" s="256"/>
    </row>
    <row r="24" spans="1:19" s="265" customFormat="1" ht="13.9" customHeight="1" thickBot="1">
      <c r="A24" s="1323" t="s">
        <v>1065</v>
      </c>
      <c r="B24" s="1324"/>
      <c r="C24" s="1324"/>
      <c r="D24" s="1324"/>
      <c r="E24" s="1324"/>
      <c r="F24" s="1324"/>
      <c r="G24" s="1324"/>
      <c r="H24" s="1324"/>
      <c r="I24" s="1324"/>
      <c r="J24" s="1324"/>
      <c r="K24" s="1324"/>
      <c r="L24" s="1324"/>
      <c r="M24" s="1324"/>
      <c r="N24" s="1324"/>
      <c r="O24" s="1325"/>
      <c r="P24" s="429"/>
      <c r="Q24" s="429"/>
    </row>
    <row r="25" spans="1:19" s="148" customFormat="1" ht="12.75" customHeight="1">
      <c r="B25" s="164"/>
      <c r="C25" s="164"/>
      <c r="D25" s="165"/>
      <c r="E25" s="165"/>
      <c r="F25" s="166"/>
      <c r="G25" s="166"/>
      <c r="I25" s="149"/>
      <c r="J25" s="149"/>
      <c r="K25" s="149"/>
      <c r="L25" s="149"/>
    </row>
    <row r="26" spans="1:19" s="148" customFormat="1" ht="12.75" customHeight="1" thickBot="1">
      <c r="D26" s="165"/>
      <c r="E26" s="165"/>
      <c r="F26" s="166"/>
      <c r="G26" s="166"/>
      <c r="I26" s="167"/>
      <c r="J26" s="167"/>
      <c r="K26" s="167"/>
      <c r="L26" s="167"/>
    </row>
    <row r="27" spans="1:19" s="148" customFormat="1" ht="15.75" customHeight="1" thickBot="1">
      <c r="F27" s="1021" t="s">
        <v>43</v>
      </c>
      <c r="G27" s="1022"/>
      <c r="H27" s="1312" t="s">
        <v>44</v>
      </c>
      <c r="I27" s="1313"/>
      <c r="J27" s="1313"/>
      <c r="K27" s="1313"/>
      <c r="L27" s="1313"/>
      <c r="M27" s="1313"/>
      <c r="N27" s="1313"/>
      <c r="O27" s="1313"/>
      <c r="P27" s="1313"/>
      <c r="Q27" s="1314"/>
    </row>
    <row r="28" spans="1:19" s="170" customFormat="1" ht="63.75" customHeight="1" thickBot="1">
      <c r="A28" s="168" t="s">
        <v>45</v>
      </c>
      <c r="B28" s="168" t="s">
        <v>46</v>
      </c>
      <c r="C28" s="169" t="s">
        <v>47</v>
      </c>
      <c r="D28" s="169" t="s">
        <v>48</v>
      </c>
      <c r="E28" s="169" t="s">
        <v>49</v>
      </c>
      <c r="F28" s="169" t="s">
        <v>50</v>
      </c>
      <c r="G28" s="168" t="s">
        <v>51</v>
      </c>
      <c r="H28" s="169" t="s">
        <v>53</v>
      </c>
      <c r="I28" s="168" t="s">
        <v>51</v>
      </c>
      <c r="J28" s="169" t="s">
        <v>54</v>
      </c>
      <c r="K28" s="168" t="s">
        <v>51</v>
      </c>
      <c r="L28" s="169" t="s">
        <v>55</v>
      </c>
      <c r="M28" s="168" t="s">
        <v>51</v>
      </c>
      <c r="N28" s="169" t="s">
        <v>847</v>
      </c>
      <c r="O28" s="168" t="s">
        <v>51</v>
      </c>
      <c r="P28" s="169" t="s">
        <v>848</v>
      </c>
      <c r="Q28" s="168" t="s">
        <v>51</v>
      </c>
    </row>
    <row r="29" spans="1:19" s="171" customFormat="1" ht="26.25" customHeight="1" thickBot="1">
      <c r="A29" s="1306" t="s">
        <v>1293</v>
      </c>
      <c r="B29" s="1308"/>
      <c r="C29" s="954" t="s">
        <v>4098</v>
      </c>
      <c r="D29" s="955" t="s">
        <v>1355</v>
      </c>
      <c r="E29" s="953">
        <v>134058.54</v>
      </c>
      <c r="F29" s="28">
        <f>SUM(E29:E30)*(1-61%)</f>
        <v>52383.840600000003</v>
      </c>
      <c r="G29" s="1011">
        <f>F29*B29</f>
        <v>0</v>
      </c>
      <c r="H29" s="29">
        <f>F29*0.03137</f>
        <v>1643.2810796220001</v>
      </c>
      <c r="I29" s="1011">
        <f>H29*B29</f>
        <v>0</v>
      </c>
      <c r="J29" s="29">
        <f>F29*0.0274</f>
        <v>1435.3172324400002</v>
      </c>
      <c r="K29" s="1011">
        <f>J29*B29</f>
        <v>0</v>
      </c>
      <c r="L29" s="410">
        <f>F29*0.0228</f>
        <v>1194.35156568</v>
      </c>
      <c r="M29" s="1011">
        <f>L29*B29</f>
        <v>0</v>
      </c>
      <c r="N29" s="410">
        <f>F29*0.0204</f>
        <v>1068.6303482400001</v>
      </c>
      <c r="O29" s="1011">
        <f>N29*B29</f>
        <v>0</v>
      </c>
      <c r="P29" s="410">
        <f>F29*0.0185</f>
        <v>969.10105110000006</v>
      </c>
      <c r="Q29" s="1011">
        <f>P29*B29</f>
        <v>0</v>
      </c>
    </row>
    <row r="30" spans="1:19" s="180" customFormat="1" ht="13.5" customHeight="1" thickBot="1">
      <c r="A30" s="1307"/>
      <c r="B30" s="1309"/>
      <c r="C30" s="411" t="s">
        <v>424</v>
      </c>
      <c r="D30" s="412" t="s">
        <v>57</v>
      </c>
      <c r="E30" s="413">
        <v>259</v>
      </c>
      <c r="F30" s="306" t="s">
        <v>35</v>
      </c>
      <c r="G30" s="1310"/>
      <c r="H30" s="306" t="s">
        <v>35</v>
      </c>
      <c r="I30" s="1310"/>
      <c r="J30" s="306" t="s">
        <v>35</v>
      </c>
      <c r="K30" s="1310"/>
      <c r="L30" s="301" t="s">
        <v>35</v>
      </c>
      <c r="M30" s="1311"/>
      <c r="N30" s="301" t="s">
        <v>35</v>
      </c>
      <c r="O30" s="1299"/>
      <c r="P30" s="301" t="s">
        <v>35</v>
      </c>
      <c r="Q30" s="1299"/>
    </row>
    <row r="31" spans="1:19" s="180" customFormat="1" ht="13.9" customHeight="1" thickBot="1">
      <c r="A31" s="1300" t="s">
        <v>59</v>
      </c>
      <c r="B31" s="1301"/>
      <c r="C31" s="1301"/>
      <c r="D31" s="1301"/>
      <c r="E31" s="1301"/>
      <c r="F31" s="1301"/>
      <c r="G31" s="1301"/>
      <c r="H31" s="1301"/>
      <c r="I31" s="1301"/>
      <c r="J31" s="1301"/>
      <c r="K31" s="1301"/>
      <c r="L31" s="1301"/>
      <c r="M31" s="1301"/>
      <c r="N31" s="1301"/>
      <c r="O31" s="1301"/>
      <c r="P31" s="1301"/>
      <c r="Q31" s="1302"/>
      <c r="R31" s="415"/>
      <c r="S31" s="415"/>
    </row>
    <row r="32" spans="1:19" s="180" customFormat="1" ht="13.5" thickBot="1">
      <c r="A32" s="1320"/>
      <c r="B32" s="431"/>
      <c r="C32" s="432" t="s">
        <v>1398</v>
      </c>
      <c r="D32" s="433" t="s">
        <v>4002</v>
      </c>
      <c r="E32" s="888">
        <v>3439.8</v>
      </c>
      <c r="F32" s="434">
        <f t="shared" ref="F32:F93" si="0">E32*(1-45%)</f>
        <v>1891.8900000000003</v>
      </c>
      <c r="G32" s="10">
        <f t="shared" ref="G32:G93" si="1">F32*B32</f>
        <v>0</v>
      </c>
      <c r="H32" s="11">
        <f t="shared" ref="H32:H93" si="2">F32*0.03137</f>
        <v>59.348589300000015</v>
      </c>
      <c r="I32" s="11">
        <f t="shared" ref="I32:I93" si="3">H32*B32</f>
        <v>0</v>
      </c>
      <c r="J32" s="11">
        <f t="shared" ref="J32:J93" si="4">F32*0.0274</f>
        <v>51.837786000000008</v>
      </c>
      <c r="K32" s="11">
        <f t="shared" ref="K32:K93" si="5">J32*B32</f>
        <v>0</v>
      </c>
      <c r="L32" s="11">
        <f t="shared" ref="L32:L93" si="6">F32*0.0228</f>
        <v>43.135092000000007</v>
      </c>
      <c r="M32" s="11">
        <f t="shared" ref="M32:M93" si="7">L32*B32</f>
        <v>0</v>
      </c>
      <c r="N32" s="11">
        <f t="shared" ref="N32:N93" si="8">F32*0.0204</f>
        <v>38.594556000000011</v>
      </c>
      <c r="O32" s="11">
        <f t="shared" ref="O32:O93" si="9">N32*B32</f>
        <v>0</v>
      </c>
      <c r="P32" s="11">
        <f t="shared" ref="P32:P93" si="10">F32*0.0185</f>
        <v>34.999965000000003</v>
      </c>
      <c r="Q32" s="11">
        <f t="shared" ref="Q32:Q93" si="11">P32*B32</f>
        <v>0</v>
      </c>
      <c r="R32" s="531"/>
      <c r="S32" s="415"/>
    </row>
    <row r="33" spans="1:19" s="180" customFormat="1" ht="13.5" thickBot="1">
      <c r="A33" s="1320"/>
      <c r="B33" s="416"/>
      <c r="C33" s="417" t="s">
        <v>1177</v>
      </c>
      <c r="D33" s="952" t="s">
        <v>3979</v>
      </c>
      <c r="E33" s="889">
        <v>499</v>
      </c>
      <c r="F33" s="8">
        <f t="shared" si="0"/>
        <v>274.45000000000005</v>
      </c>
      <c r="G33" s="10">
        <f t="shared" si="1"/>
        <v>0</v>
      </c>
      <c r="H33" s="11">
        <f t="shared" si="2"/>
        <v>8.6094965000000023</v>
      </c>
      <c r="I33" s="11">
        <f t="shared" si="3"/>
        <v>0</v>
      </c>
      <c r="J33" s="11">
        <f t="shared" si="4"/>
        <v>7.5199300000000013</v>
      </c>
      <c r="K33" s="11">
        <f t="shared" si="5"/>
        <v>0</v>
      </c>
      <c r="L33" s="11">
        <f t="shared" si="6"/>
        <v>6.2574600000000009</v>
      </c>
      <c r="M33" s="11">
        <f t="shared" si="7"/>
        <v>0</v>
      </c>
      <c r="N33" s="11">
        <f t="shared" si="8"/>
        <v>5.5987800000000014</v>
      </c>
      <c r="O33" s="11">
        <f t="shared" si="9"/>
        <v>0</v>
      </c>
      <c r="P33" s="11">
        <f t="shared" si="10"/>
        <v>5.077325000000001</v>
      </c>
      <c r="Q33" s="11">
        <f t="shared" si="11"/>
        <v>0</v>
      </c>
      <c r="R33" s="531"/>
      <c r="S33" s="415"/>
    </row>
    <row r="34" spans="1:19" s="180" customFormat="1" ht="13.5" thickBot="1">
      <c r="A34" s="1320"/>
      <c r="B34" s="416"/>
      <c r="C34" s="417" t="s">
        <v>3980</v>
      </c>
      <c r="D34" s="418" t="s">
        <v>3981</v>
      </c>
      <c r="E34" s="889">
        <v>5000</v>
      </c>
      <c r="F34" s="8">
        <f t="shared" si="0"/>
        <v>2750</v>
      </c>
      <c r="G34" s="10">
        <f t="shared" si="1"/>
        <v>0</v>
      </c>
      <c r="H34" s="11">
        <f t="shared" si="2"/>
        <v>86.267500000000013</v>
      </c>
      <c r="I34" s="11">
        <f t="shared" si="3"/>
        <v>0</v>
      </c>
      <c r="J34" s="11">
        <f t="shared" si="4"/>
        <v>75.350000000000009</v>
      </c>
      <c r="K34" s="11">
        <f t="shared" si="5"/>
        <v>0</v>
      </c>
      <c r="L34" s="11">
        <f t="shared" si="6"/>
        <v>62.7</v>
      </c>
      <c r="M34" s="11">
        <f t="shared" si="7"/>
        <v>0</v>
      </c>
      <c r="N34" s="11">
        <f t="shared" si="8"/>
        <v>56.1</v>
      </c>
      <c r="O34" s="11">
        <f t="shared" si="9"/>
        <v>0</v>
      </c>
      <c r="P34" s="11">
        <f t="shared" si="10"/>
        <v>50.875</v>
      </c>
      <c r="Q34" s="11">
        <f t="shared" si="11"/>
        <v>0</v>
      </c>
      <c r="R34" s="531"/>
      <c r="S34" s="415"/>
    </row>
    <row r="35" spans="1:19" s="180" customFormat="1" ht="13.5" thickBot="1">
      <c r="A35" s="1320"/>
      <c r="B35" s="416"/>
      <c r="C35" s="419" t="s">
        <v>105</v>
      </c>
      <c r="D35" s="420" t="s">
        <v>325</v>
      </c>
      <c r="E35" s="889">
        <v>399</v>
      </c>
      <c r="F35" s="8">
        <f t="shared" si="0"/>
        <v>219.45000000000002</v>
      </c>
      <c r="G35" s="10">
        <f t="shared" si="1"/>
        <v>0</v>
      </c>
      <c r="H35" s="11">
        <f t="shared" si="2"/>
        <v>6.8841465000000008</v>
      </c>
      <c r="I35" s="11">
        <f t="shared" si="3"/>
        <v>0</v>
      </c>
      <c r="J35" s="11">
        <f t="shared" si="4"/>
        <v>6.0129300000000008</v>
      </c>
      <c r="K35" s="11">
        <f t="shared" si="5"/>
        <v>0</v>
      </c>
      <c r="L35" s="11">
        <f t="shared" si="6"/>
        <v>5.0034600000000005</v>
      </c>
      <c r="M35" s="11">
        <f t="shared" si="7"/>
        <v>0</v>
      </c>
      <c r="N35" s="11">
        <f t="shared" si="8"/>
        <v>4.4767800000000006</v>
      </c>
      <c r="O35" s="11">
        <f t="shared" si="9"/>
        <v>0</v>
      </c>
      <c r="P35" s="11">
        <f t="shared" si="10"/>
        <v>4.059825</v>
      </c>
      <c r="Q35" s="11">
        <f t="shared" si="11"/>
        <v>0</v>
      </c>
      <c r="R35" s="531"/>
      <c r="S35" s="415"/>
    </row>
    <row r="36" spans="1:19" s="180" customFormat="1" ht="13.5" thickBot="1">
      <c r="A36" s="1320"/>
      <c r="B36" s="416"/>
      <c r="C36" s="419" t="s">
        <v>3982</v>
      </c>
      <c r="D36" s="420" t="s">
        <v>3983</v>
      </c>
      <c r="E36" s="889">
        <v>2800</v>
      </c>
      <c r="F36" s="8">
        <f t="shared" si="0"/>
        <v>1540.0000000000002</v>
      </c>
      <c r="G36" s="10">
        <f t="shared" si="1"/>
        <v>0</v>
      </c>
      <c r="H36" s="11">
        <f t="shared" si="2"/>
        <v>48.30980000000001</v>
      </c>
      <c r="I36" s="11">
        <f t="shared" si="3"/>
        <v>0</v>
      </c>
      <c r="J36" s="11">
        <f t="shared" si="4"/>
        <v>42.196000000000005</v>
      </c>
      <c r="K36" s="11">
        <f t="shared" si="5"/>
        <v>0</v>
      </c>
      <c r="L36" s="11">
        <f t="shared" si="6"/>
        <v>35.112000000000009</v>
      </c>
      <c r="M36" s="11">
        <f t="shared" si="7"/>
        <v>0</v>
      </c>
      <c r="N36" s="11">
        <f t="shared" si="8"/>
        <v>31.416000000000007</v>
      </c>
      <c r="O36" s="11">
        <f t="shared" si="9"/>
        <v>0</v>
      </c>
      <c r="P36" s="11">
        <f t="shared" si="10"/>
        <v>28.490000000000002</v>
      </c>
      <c r="Q36" s="11">
        <f t="shared" si="11"/>
        <v>0</v>
      </c>
      <c r="R36" s="531"/>
      <c r="S36" s="415"/>
    </row>
    <row r="37" spans="1:19" s="180" customFormat="1" ht="13.5" thickBot="1">
      <c r="A37" s="1320"/>
      <c r="B37" s="416"/>
      <c r="C37" s="419" t="s">
        <v>4003</v>
      </c>
      <c r="D37" s="420" t="s">
        <v>4004</v>
      </c>
      <c r="E37" s="889">
        <v>5000</v>
      </c>
      <c r="F37" s="8">
        <f t="shared" si="0"/>
        <v>2750</v>
      </c>
      <c r="G37" s="10">
        <f t="shared" si="1"/>
        <v>0</v>
      </c>
      <c r="H37" s="11">
        <f t="shared" si="2"/>
        <v>86.267500000000013</v>
      </c>
      <c r="I37" s="11">
        <f t="shared" si="3"/>
        <v>0</v>
      </c>
      <c r="J37" s="11">
        <f t="shared" si="4"/>
        <v>75.350000000000009</v>
      </c>
      <c r="K37" s="11">
        <f t="shared" si="5"/>
        <v>0</v>
      </c>
      <c r="L37" s="11">
        <f t="shared" si="6"/>
        <v>62.7</v>
      </c>
      <c r="M37" s="11">
        <f t="shared" si="7"/>
        <v>0</v>
      </c>
      <c r="N37" s="11">
        <f t="shared" si="8"/>
        <v>56.1</v>
      </c>
      <c r="O37" s="11">
        <f t="shared" si="9"/>
        <v>0</v>
      </c>
      <c r="P37" s="11">
        <f t="shared" si="10"/>
        <v>50.875</v>
      </c>
      <c r="Q37" s="11">
        <f t="shared" si="11"/>
        <v>0</v>
      </c>
      <c r="R37" s="531"/>
      <c r="S37" s="415"/>
    </row>
    <row r="38" spans="1:19" s="180" customFormat="1" ht="13.5" thickBot="1">
      <c r="A38" s="1320"/>
      <c r="B38" s="416"/>
      <c r="C38" s="417" t="s">
        <v>1193</v>
      </c>
      <c r="D38" s="418" t="s">
        <v>1194</v>
      </c>
      <c r="E38" s="889">
        <v>13953.14</v>
      </c>
      <c r="F38" s="8">
        <f t="shared" si="0"/>
        <v>7674.2269999999999</v>
      </c>
      <c r="G38" s="10">
        <f t="shared" si="1"/>
        <v>0</v>
      </c>
      <c r="H38" s="11">
        <f t="shared" si="2"/>
        <v>240.74050099000002</v>
      </c>
      <c r="I38" s="11">
        <f t="shared" si="3"/>
        <v>0</v>
      </c>
      <c r="J38" s="11">
        <f t="shared" si="4"/>
        <v>210.27381980000001</v>
      </c>
      <c r="K38" s="11">
        <f t="shared" si="5"/>
        <v>0</v>
      </c>
      <c r="L38" s="11">
        <f t="shared" si="6"/>
        <v>174.97237559999999</v>
      </c>
      <c r="M38" s="11">
        <f t="shared" si="7"/>
        <v>0</v>
      </c>
      <c r="N38" s="11">
        <f t="shared" si="8"/>
        <v>156.5542308</v>
      </c>
      <c r="O38" s="11">
        <f t="shared" si="9"/>
        <v>0</v>
      </c>
      <c r="P38" s="11">
        <f t="shared" si="10"/>
        <v>141.97319949999999</v>
      </c>
      <c r="Q38" s="11">
        <f t="shared" si="11"/>
        <v>0</v>
      </c>
      <c r="R38" s="531"/>
      <c r="S38" s="415"/>
    </row>
    <row r="39" spans="1:19" s="180" customFormat="1" ht="13.5" thickBot="1">
      <c r="A39" s="1320"/>
      <c r="B39" s="416"/>
      <c r="C39" s="419" t="s">
        <v>1197</v>
      </c>
      <c r="D39" s="420" t="s">
        <v>4096</v>
      </c>
      <c r="E39" s="889">
        <v>4436.03</v>
      </c>
      <c r="F39" s="8">
        <f t="shared" si="0"/>
        <v>2439.8164999999999</v>
      </c>
      <c r="G39" s="10">
        <f t="shared" si="1"/>
        <v>0</v>
      </c>
      <c r="H39" s="11">
        <f t="shared" si="2"/>
        <v>76.537043605000008</v>
      </c>
      <c r="I39" s="11">
        <f t="shared" si="3"/>
        <v>0</v>
      </c>
      <c r="J39" s="11">
        <f t="shared" si="4"/>
        <v>66.850972099999993</v>
      </c>
      <c r="K39" s="11">
        <f t="shared" si="5"/>
        <v>0</v>
      </c>
      <c r="L39" s="11">
        <f t="shared" si="6"/>
        <v>55.627816199999998</v>
      </c>
      <c r="M39" s="11">
        <f t="shared" si="7"/>
        <v>0</v>
      </c>
      <c r="N39" s="11">
        <f t="shared" si="8"/>
        <v>49.772256599999999</v>
      </c>
      <c r="O39" s="11">
        <f t="shared" si="9"/>
        <v>0</v>
      </c>
      <c r="P39" s="11">
        <f t="shared" si="10"/>
        <v>45.136605249999995</v>
      </c>
      <c r="Q39" s="11">
        <f t="shared" si="11"/>
        <v>0</v>
      </c>
      <c r="R39" s="531"/>
      <c r="S39" s="415"/>
    </row>
    <row r="40" spans="1:19" s="180" customFormat="1" ht="13.5" thickBot="1">
      <c r="A40" s="1320"/>
      <c r="B40" s="416"/>
      <c r="C40" s="419" t="s">
        <v>1195</v>
      </c>
      <c r="D40" s="420" t="s">
        <v>1196</v>
      </c>
      <c r="E40" s="889">
        <v>3699.7</v>
      </c>
      <c r="F40" s="8">
        <f t="shared" si="0"/>
        <v>2034.835</v>
      </c>
      <c r="G40" s="10">
        <f t="shared" si="1"/>
        <v>0</v>
      </c>
      <c r="H40" s="11">
        <f t="shared" si="2"/>
        <v>63.832773950000004</v>
      </c>
      <c r="I40" s="11">
        <f t="shared" si="3"/>
        <v>0</v>
      </c>
      <c r="J40" s="11">
        <f t="shared" si="4"/>
        <v>55.754479000000003</v>
      </c>
      <c r="K40" s="11">
        <f t="shared" si="5"/>
        <v>0</v>
      </c>
      <c r="L40" s="11">
        <f t="shared" si="6"/>
        <v>46.394238000000001</v>
      </c>
      <c r="M40" s="11">
        <f t="shared" si="7"/>
        <v>0</v>
      </c>
      <c r="N40" s="11">
        <f t="shared" si="8"/>
        <v>41.510634000000003</v>
      </c>
      <c r="O40" s="11">
        <f t="shared" si="9"/>
        <v>0</v>
      </c>
      <c r="P40" s="11">
        <f t="shared" si="10"/>
        <v>37.644447499999998</v>
      </c>
      <c r="Q40" s="11">
        <f t="shared" si="11"/>
        <v>0</v>
      </c>
      <c r="R40" s="531"/>
      <c r="S40" s="415"/>
    </row>
    <row r="41" spans="1:19" s="180" customFormat="1" ht="13.5" thickBot="1">
      <c r="A41" s="1320"/>
      <c r="B41" s="416"/>
      <c r="C41" s="417" t="s">
        <v>1295</v>
      </c>
      <c r="D41" s="418" t="s">
        <v>1296</v>
      </c>
      <c r="E41" s="889">
        <v>3567.56</v>
      </c>
      <c r="F41" s="8">
        <f t="shared" si="0"/>
        <v>1962.1580000000001</v>
      </c>
      <c r="G41" s="10">
        <f t="shared" si="1"/>
        <v>0</v>
      </c>
      <c r="H41" s="11">
        <f t="shared" si="2"/>
        <v>61.552896460000007</v>
      </c>
      <c r="I41" s="11">
        <f t="shared" si="3"/>
        <v>0</v>
      </c>
      <c r="J41" s="11">
        <f t="shared" si="4"/>
        <v>53.763129200000002</v>
      </c>
      <c r="K41" s="11">
        <f t="shared" si="5"/>
        <v>0</v>
      </c>
      <c r="L41" s="11">
        <f t="shared" si="6"/>
        <v>44.737202400000001</v>
      </c>
      <c r="M41" s="11">
        <f t="shared" si="7"/>
        <v>0</v>
      </c>
      <c r="N41" s="11">
        <f t="shared" si="8"/>
        <v>40.028023200000007</v>
      </c>
      <c r="O41" s="11">
        <f t="shared" si="9"/>
        <v>0</v>
      </c>
      <c r="P41" s="11">
        <f t="shared" si="10"/>
        <v>36.299923</v>
      </c>
      <c r="Q41" s="11">
        <f t="shared" si="11"/>
        <v>0</v>
      </c>
      <c r="R41" s="531"/>
      <c r="S41" s="415"/>
    </row>
    <row r="42" spans="1:19" s="180" customFormat="1" ht="13.5" thickBot="1">
      <c r="A42" s="1320"/>
      <c r="B42" s="416"/>
      <c r="C42" s="419" t="s">
        <v>1089</v>
      </c>
      <c r="D42" s="420" t="s">
        <v>1090</v>
      </c>
      <c r="E42" s="889">
        <v>3606.97</v>
      </c>
      <c r="F42" s="8">
        <f t="shared" si="0"/>
        <v>1983.8335</v>
      </c>
      <c r="G42" s="10">
        <f t="shared" si="1"/>
        <v>0</v>
      </c>
      <c r="H42" s="11">
        <f t="shared" si="2"/>
        <v>62.232856895000005</v>
      </c>
      <c r="I42" s="11">
        <f t="shared" si="3"/>
        <v>0</v>
      </c>
      <c r="J42" s="11">
        <f t="shared" si="4"/>
        <v>54.357037900000002</v>
      </c>
      <c r="K42" s="11">
        <f t="shared" si="5"/>
        <v>0</v>
      </c>
      <c r="L42" s="11">
        <f t="shared" si="6"/>
        <v>45.231403800000002</v>
      </c>
      <c r="M42" s="11">
        <f t="shared" si="7"/>
        <v>0</v>
      </c>
      <c r="N42" s="11">
        <f t="shared" si="8"/>
        <v>40.470203400000003</v>
      </c>
      <c r="O42" s="11">
        <f t="shared" si="9"/>
        <v>0</v>
      </c>
      <c r="P42" s="11">
        <f t="shared" si="10"/>
        <v>36.700919749999997</v>
      </c>
      <c r="Q42" s="11">
        <f t="shared" si="11"/>
        <v>0</v>
      </c>
      <c r="R42" s="531"/>
      <c r="S42" s="415"/>
    </row>
    <row r="43" spans="1:19" s="180" customFormat="1" ht="13.5" thickBot="1">
      <c r="A43" s="1320"/>
      <c r="B43" s="416"/>
      <c r="C43" s="419" t="s">
        <v>1069</v>
      </c>
      <c r="D43" s="420" t="s">
        <v>1070</v>
      </c>
      <c r="E43" s="889">
        <v>1701.26</v>
      </c>
      <c r="F43" s="8">
        <f t="shared" si="0"/>
        <v>935.6930000000001</v>
      </c>
      <c r="G43" s="10">
        <f t="shared" si="1"/>
        <v>0</v>
      </c>
      <c r="H43" s="11">
        <f t="shared" si="2"/>
        <v>29.352689410000004</v>
      </c>
      <c r="I43" s="11">
        <f t="shared" si="3"/>
        <v>0</v>
      </c>
      <c r="J43" s="11">
        <f t="shared" si="4"/>
        <v>25.637988200000002</v>
      </c>
      <c r="K43" s="11">
        <f t="shared" si="5"/>
        <v>0</v>
      </c>
      <c r="L43" s="11">
        <f t="shared" si="6"/>
        <v>21.333800400000001</v>
      </c>
      <c r="M43" s="11">
        <f t="shared" si="7"/>
        <v>0</v>
      </c>
      <c r="N43" s="11">
        <f t="shared" si="8"/>
        <v>19.088137200000002</v>
      </c>
      <c r="O43" s="11">
        <f t="shared" si="9"/>
        <v>0</v>
      </c>
      <c r="P43" s="11">
        <f t="shared" si="10"/>
        <v>17.3103205</v>
      </c>
      <c r="Q43" s="11">
        <f t="shared" si="11"/>
        <v>0</v>
      </c>
      <c r="R43" s="531"/>
      <c r="S43" s="415"/>
    </row>
    <row r="44" spans="1:19" s="180" customFormat="1" ht="13.5" thickBot="1">
      <c r="A44" s="1320"/>
      <c r="B44" s="416"/>
      <c r="C44" s="419" t="s">
        <v>1095</v>
      </c>
      <c r="D44" s="420" t="s">
        <v>1096</v>
      </c>
      <c r="E44" s="889">
        <v>4637.54</v>
      </c>
      <c r="F44" s="8">
        <f t="shared" si="0"/>
        <v>2550.6470000000004</v>
      </c>
      <c r="G44" s="10">
        <f t="shared" si="1"/>
        <v>0</v>
      </c>
      <c r="H44" s="11">
        <f t="shared" si="2"/>
        <v>80.013796390000024</v>
      </c>
      <c r="I44" s="11">
        <f t="shared" si="3"/>
        <v>0</v>
      </c>
      <c r="J44" s="11">
        <f t="shared" si="4"/>
        <v>69.887727800000008</v>
      </c>
      <c r="K44" s="11">
        <f t="shared" si="5"/>
        <v>0</v>
      </c>
      <c r="L44" s="11">
        <f t="shared" si="6"/>
        <v>58.154751600000012</v>
      </c>
      <c r="M44" s="11">
        <f t="shared" si="7"/>
        <v>0</v>
      </c>
      <c r="N44" s="11">
        <f t="shared" si="8"/>
        <v>52.033198800000015</v>
      </c>
      <c r="O44" s="11">
        <f t="shared" si="9"/>
        <v>0</v>
      </c>
      <c r="P44" s="11">
        <f t="shared" si="10"/>
        <v>47.186969500000004</v>
      </c>
      <c r="Q44" s="11">
        <f t="shared" si="11"/>
        <v>0</v>
      </c>
      <c r="R44" s="531"/>
      <c r="S44" s="415"/>
    </row>
    <row r="45" spans="1:19" s="180" customFormat="1" ht="13.5" thickBot="1">
      <c r="A45" s="1320"/>
      <c r="B45" s="416"/>
      <c r="C45" s="417" t="s">
        <v>1083</v>
      </c>
      <c r="D45" s="418" t="s">
        <v>1084</v>
      </c>
      <c r="E45" s="889">
        <v>1422.19</v>
      </c>
      <c r="F45" s="8">
        <f t="shared" si="0"/>
        <v>782.20450000000005</v>
      </c>
      <c r="G45" s="10">
        <f t="shared" si="1"/>
        <v>0</v>
      </c>
      <c r="H45" s="11">
        <f t="shared" si="2"/>
        <v>24.537755165000004</v>
      </c>
      <c r="I45" s="11">
        <f t="shared" si="3"/>
        <v>0</v>
      </c>
      <c r="J45" s="11">
        <f t="shared" si="4"/>
        <v>21.432403300000001</v>
      </c>
      <c r="K45" s="11">
        <f t="shared" si="5"/>
        <v>0</v>
      </c>
      <c r="L45" s="11">
        <f t="shared" si="6"/>
        <v>17.834262600000002</v>
      </c>
      <c r="M45" s="11">
        <f t="shared" si="7"/>
        <v>0</v>
      </c>
      <c r="N45" s="11">
        <f t="shared" si="8"/>
        <v>15.956971800000002</v>
      </c>
      <c r="O45" s="11">
        <f t="shared" si="9"/>
        <v>0</v>
      </c>
      <c r="P45" s="11">
        <f t="shared" si="10"/>
        <v>14.47078325</v>
      </c>
      <c r="Q45" s="11">
        <f t="shared" si="11"/>
        <v>0</v>
      </c>
      <c r="R45" s="531"/>
      <c r="S45" s="415"/>
    </row>
    <row r="46" spans="1:19" s="180" customFormat="1" ht="13.5" thickBot="1">
      <c r="A46" s="1320"/>
      <c r="B46" s="416"/>
      <c r="C46" s="419" t="s">
        <v>1071</v>
      </c>
      <c r="D46" s="420" t="s">
        <v>1072</v>
      </c>
      <c r="E46" s="889">
        <v>1701.26</v>
      </c>
      <c r="F46" s="8">
        <f t="shared" si="0"/>
        <v>935.6930000000001</v>
      </c>
      <c r="G46" s="10">
        <f t="shared" si="1"/>
        <v>0</v>
      </c>
      <c r="H46" s="11">
        <f t="shared" si="2"/>
        <v>29.352689410000004</v>
      </c>
      <c r="I46" s="11">
        <f t="shared" si="3"/>
        <v>0</v>
      </c>
      <c r="J46" s="11">
        <f t="shared" si="4"/>
        <v>25.637988200000002</v>
      </c>
      <c r="K46" s="11">
        <f t="shared" si="5"/>
        <v>0</v>
      </c>
      <c r="L46" s="11">
        <f t="shared" si="6"/>
        <v>21.333800400000001</v>
      </c>
      <c r="M46" s="11">
        <f t="shared" si="7"/>
        <v>0</v>
      </c>
      <c r="N46" s="11">
        <f t="shared" si="8"/>
        <v>19.088137200000002</v>
      </c>
      <c r="O46" s="11">
        <f t="shared" si="9"/>
        <v>0</v>
      </c>
      <c r="P46" s="11">
        <f t="shared" si="10"/>
        <v>17.3103205</v>
      </c>
      <c r="Q46" s="11">
        <f t="shared" si="11"/>
        <v>0</v>
      </c>
      <c r="R46" s="531"/>
      <c r="S46" s="415"/>
    </row>
    <row r="47" spans="1:19" s="180" customFormat="1" ht="13.5" thickBot="1">
      <c r="A47" s="1320"/>
      <c r="B47" s="416"/>
      <c r="C47" s="419" t="s">
        <v>1085</v>
      </c>
      <c r="D47" s="420" t="s">
        <v>1086</v>
      </c>
      <c r="E47" s="889">
        <v>1545.83</v>
      </c>
      <c r="F47" s="8">
        <f t="shared" si="0"/>
        <v>850.20650000000001</v>
      </c>
      <c r="G47" s="10">
        <f t="shared" si="1"/>
        <v>0</v>
      </c>
      <c r="H47" s="11">
        <f t="shared" si="2"/>
        <v>26.670977905000001</v>
      </c>
      <c r="I47" s="11">
        <f t="shared" si="3"/>
        <v>0</v>
      </c>
      <c r="J47" s="11">
        <f t="shared" si="4"/>
        <v>23.295658100000001</v>
      </c>
      <c r="K47" s="11">
        <f t="shared" si="5"/>
        <v>0</v>
      </c>
      <c r="L47" s="11">
        <f t="shared" si="6"/>
        <v>19.384708200000002</v>
      </c>
      <c r="M47" s="11">
        <f t="shared" si="7"/>
        <v>0</v>
      </c>
      <c r="N47" s="11">
        <f t="shared" si="8"/>
        <v>17.344212600000002</v>
      </c>
      <c r="O47" s="11">
        <f t="shared" si="9"/>
        <v>0</v>
      </c>
      <c r="P47" s="11">
        <f t="shared" si="10"/>
        <v>15.72882025</v>
      </c>
      <c r="Q47" s="11">
        <f t="shared" si="11"/>
        <v>0</v>
      </c>
      <c r="R47" s="531"/>
      <c r="S47" s="415"/>
    </row>
    <row r="48" spans="1:19" s="180" customFormat="1" ht="13.5" thickBot="1">
      <c r="A48" s="1320"/>
      <c r="B48" s="416"/>
      <c r="C48" s="419" t="s">
        <v>1073</v>
      </c>
      <c r="D48" s="420" t="s">
        <v>1074</v>
      </c>
      <c r="E48" s="889">
        <v>1701.26</v>
      </c>
      <c r="F48" s="8">
        <f t="shared" si="0"/>
        <v>935.6930000000001</v>
      </c>
      <c r="G48" s="10">
        <f t="shared" si="1"/>
        <v>0</v>
      </c>
      <c r="H48" s="11">
        <f t="shared" si="2"/>
        <v>29.352689410000004</v>
      </c>
      <c r="I48" s="11">
        <f t="shared" si="3"/>
        <v>0</v>
      </c>
      <c r="J48" s="11">
        <f t="shared" si="4"/>
        <v>25.637988200000002</v>
      </c>
      <c r="K48" s="11">
        <f t="shared" si="5"/>
        <v>0</v>
      </c>
      <c r="L48" s="11">
        <f t="shared" si="6"/>
        <v>21.333800400000001</v>
      </c>
      <c r="M48" s="11">
        <f t="shared" si="7"/>
        <v>0</v>
      </c>
      <c r="N48" s="11">
        <f t="shared" si="8"/>
        <v>19.088137200000002</v>
      </c>
      <c r="O48" s="11">
        <f t="shared" si="9"/>
        <v>0</v>
      </c>
      <c r="P48" s="11">
        <f t="shared" si="10"/>
        <v>17.3103205</v>
      </c>
      <c r="Q48" s="11">
        <f t="shared" si="11"/>
        <v>0</v>
      </c>
      <c r="R48" s="531"/>
      <c r="S48" s="415"/>
    </row>
    <row r="49" spans="1:19" s="180" customFormat="1" ht="13.5" thickBot="1">
      <c r="A49" s="1320"/>
      <c r="B49" s="416"/>
      <c r="C49" s="419" t="s">
        <v>1087</v>
      </c>
      <c r="D49" s="420" t="s">
        <v>1088</v>
      </c>
      <c r="E49" s="889">
        <v>1545.83</v>
      </c>
      <c r="F49" s="8">
        <f t="shared" si="0"/>
        <v>850.20650000000001</v>
      </c>
      <c r="G49" s="10">
        <f t="shared" si="1"/>
        <v>0</v>
      </c>
      <c r="H49" s="11">
        <f t="shared" si="2"/>
        <v>26.670977905000001</v>
      </c>
      <c r="I49" s="11">
        <f t="shared" si="3"/>
        <v>0</v>
      </c>
      <c r="J49" s="11">
        <f t="shared" si="4"/>
        <v>23.295658100000001</v>
      </c>
      <c r="K49" s="11">
        <f t="shared" si="5"/>
        <v>0</v>
      </c>
      <c r="L49" s="11">
        <f t="shared" si="6"/>
        <v>19.384708200000002</v>
      </c>
      <c r="M49" s="11">
        <f t="shared" si="7"/>
        <v>0</v>
      </c>
      <c r="N49" s="11">
        <f t="shared" si="8"/>
        <v>17.344212600000002</v>
      </c>
      <c r="O49" s="11">
        <f t="shared" si="9"/>
        <v>0</v>
      </c>
      <c r="P49" s="11">
        <f t="shared" si="10"/>
        <v>15.72882025</v>
      </c>
      <c r="Q49" s="11">
        <f t="shared" si="11"/>
        <v>0</v>
      </c>
      <c r="R49" s="531"/>
      <c r="S49" s="415"/>
    </row>
    <row r="50" spans="1:19" s="180" customFormat="1" ht="13.5" thickBot="1">
      <c r="A50" s="1320"/>
      <c r="B50" s="416"/>
      <c r="C50" s="419" t="s">
        <v>1079</v>
      </c>
      <c r="D50" s="420" t="s">
        <v>1080</v>
      </c>
      <c r="E50" s="889">
        <v>1545.83</v>
      </c>
      <c r="F50" s="8">
        <f t="shared" si="0"/>
        <v>850.20650000000001</v>
      </c>
      <c r="G50" s="10">
        <f t="shared" si="1"/>
        <v>0</v>
      </c>
      <c r="H50" s="11">
        <f t="shared" si="2"/>
        <v>26.670977905000001</v>
      </c>
      <c r="I50" s="11">
        <f t="shared" si="3"/>
        <v>0</v>
      </c>
      <c r="J50" s="11">
        <f t="shared" si="4"/>
        <v>23.295658100000001</v>
      </c>
      <c r="K50" s="11">
        <f t="shared" si="5"/>
        <v>0</v>
      </c>
      <c r="L50" s="11">
        <f t="shared" si="6"/>
        <v>19.384708200000002</v>
      </c>
      <c r="M50" s="11">
        <f t="shared" si="7"/>
        <v>0</v>
      </c>
      <c r="N50" s="11">
        <f t="shared" si="8"/>
        <v>17.344212600000002</v>
      </c>
      <c r="O50" s="11">
        <f t="shared" si="9"/>
        <v>0</v>
      </c>
      <c r="P50" s="11">
        <f t="shared" si="10"/>
        <v>15.72882025</v>
      </c>
      <c r="Q50" s="11">
        <f t="shared" si="11"/>
        <v>0</v>
      </c>
      <c r="R50" s="531"/>
      <c r="S50" s="415"/>
    </row>
    <row r="51" spans="1:19" s="180" customFormat="1" ht="13.5" thickBot="1">
      <c r="A51" s="1320"/>
      <c r="B51" s="416"/>
      <c r="C51" s="419" t="s">
        <v>1075</v>
      </c>
      <c r="D51" s="420" t="s">
        <v>1076</v>
      </c>
      <c r="E51" s="889">
        <v>1545.83</v>
      </c>
      <c r="F51" s="8">
        <f t="shared" si="0"/>
        <v>850.20650000000001</v>
      </c>
      <c r="G51" s="10">
        <f t="shared" si="1"/>
        <v>0</v>
      </c>
      <c r="H51" s="11">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15.72882025</v>
      </c>
      <c r="Q51" s="11">
        <f t="shared" si="11"/>
        <v>0</v>
      </c>
      <c r="R51" s="531"/>
      <c r="S51" s="415"/>
    </row>
    <row r="52" spans="1:19" s="180" customFormat="1" ht="13.5" thickBot="1">
      <c r="A52" s="1320"/>
      <c r="B52" s="416"/>
      <c r="C52" s="419" t="s">
        <v>1097</v>
      </c>
      <c r="D52" s="420" t="s">
        <v>1098</v>
      </c>
      <c r="E52" s="889">
        <v>2679.44</v>
      </c>
      <c r="F52" s="8">
        <f t="shared" si="0"/>
        <v>1473.6920000000002</v>
      </c>
      <c r="G52" s="10">
        <f t="shared" si="1"/>
        <v>0</v>
      </c>
      <c r="H52" s="11">
        <f t="shared" si="2"/>
        <v>46.229718040000009</v>
      </c>
      <c r="I52" s="11">
        <f t="shared" si="3"/>
        <v>0</v>
      </c>
      <c r="J52" s="11">
        <f t="shared" si="4"/>
        <v>40.379160800000008</v>
      </c>
      <c r="K52" s="11">
        <f t="shared" si="5"/>
        <v>0</v>
      </c>
      <c r="L52" s="11">
        <f t="shared" si="6"/>
        <v>33.600177600000009</v>
      </c>
      <c r="M52" s="11">
        <f t="shared" si="7"/>
        <v>0</v>
      </c>
      <c r="N52" s="11">
        <f t="shared" si="8"/>
        <v>30.063316800000006</v>
      </c>
      <c r="O52" s="11">
        <f t="shared" si="9"/>
        <v>0</v>
      </c>
      <c r="P52" s="11">
        <f t="shared" si="10"/>
        <v>27.263302000000003</v>
      </c>
      <c r="Q52" s="11">
        <f t="shared" si="11"/>
        <v>0</v>
      </c>
      <c r="R52" s="531"/>
      <c r="S52" s="415"/>
    </row>
    <row r="53" spans="1:19" s="180" customFormat="1" ht="13.5" thickBot="1">
      <c r="A53" s="1320"/>
      <c r="B53" s="416"/>
      <c r="C53" s="419" t="s">
        <v>1077</v>
      </c>
      <c r="D53" s="420" t="s">
        <v>1078</v>
      </c>
      <c r="E53" s="889">
        <v>1545.83</v>
      </c>
      <c r="F53" s="8">
        <f t="shared" si="0"/>
        <v>850.20650000000001</v>
      </c>
      <c r="G53" s="10">
        <f t="shared" si="1"/>
        <v>0</v>
      </c>
      <c r="H53" s="11">
        <f t="shared" si="2"/>
        <v>26.670977905000001</v>
      </c>
      <c r="I53" s="11">
        <f t="shared" si="3"/>
        <v>0</v>
      </c>
      <c r="J53" s="11">
        <f t="shared" si="4"/>
        <v>23.295658100000001</v>
      </c>
      <c r="K53" s="11">
        <f t="shared" si="5"/>
        <v>0</v>
      </c>
      <c r="L53" s="11">
        <f t="shared" si="6"/>
        <v>19.384708200000002</v>
      </c>
      <c r="M53" s="11">
        <f t="shared" si="7"/>
        <v>0</v>
      </c>
      <c r="N53" s="11">
        <f t="shared" si="8"/>
        <v>17.344212600000002</v>
      </c>
      <c r="O53" s="11">
        <f t="shared" si="9"/>
        <v>0</v>
      </c>
      <c r="P53" s="11">
        <f t="shared" si="10"/>
        <v>15.72882025</v>
      </c>
      <c r="Q53" s="11">
        <f t="shared" si="11"/>
        <v>0</v>
      </c>
      <c r="R53" s="531"/>
      <c r="S53" s="415"/>
    </row>
    <row r="54" spans="1:19" s="180" customFormat="1" ht="13.5" thickBot="1">
      <c r="A54" s="1320"/>
      <c r="B54" s="416"/>
      <c r="C54" s="417" t="s">
        <v>1099</v>
      </c>
      <c r="D54" s="418" t="s">
        <v>1100</v>
      </c>
      <c r="E54" s="889">
        <v>5152.8100000000004</v>
      </c>
      <c r="F54" s="8">
        <f t="shared" si="0"/>
        <v>2834.0455000000006</v>
      </c>
      <c r="G54" s="10">
        <f t="shared" si="1"/>
        <v>0</v>
      </c>
      <c r="H54" s="11">
        <f t="shared" si="2"/>
        <v>88.904007335000031</v>
      </c>
      <c r="I54" s="11">
        <f t="shared" si="3"/>
        <v>0</v>
      </c>
      <c r="J54" s="11">
        <f t="shared" si="4"/>
        <v>77.652846700000026</v>
      </c>
      <c r="K54" s="11">
        <f t="shared" si="5"/>
        <v>0</v>
      </c>
      <c r="L54" s="11">
        <f t="shared" si="6"/>
        <v>64.616237400000017</v>
      </c>
      <c r="M54" s="11">
        <f t="shared" si="7"/>
        <v>0</v>
      </c>
      <c r="N54" s="11">
        <f t="shared" si="8"/>
        <v>57.814528200000019</v>
      </c>
      <c r="O54" s="11">
        <f t="shared" si="9"/>
        <v>0</v>
      </c>
      <c r="P54" s="11">
        <f t="shared" si="10"/>
        <v>52.429841750000008</v>
      </c>
      <c r="Q54" s="11">
        <f t="shared" si="11"/>
        <v>0</v>
      </c>
      <c r="R54" s="531"/>
      <c r="S54" s="415"/>
    </row>
    <row r="55" spans="1:19" s="180" customFormat="1" ht="13.5" thickBot="1">
      <c r="A55" s="1320"/>
      <c r="B55" s="416"/>
      <c r="C55" s="419" t="s">
        <v>1091</v>
      </c>
      <c r="D55" s="420" t="s">
        <v>1092</v>
      </c>
      <c r="E55" s="889">
        <v>1648.89</v>
      </c>
      <c r="F55" s="8">
        <f t="shared" si="0"/>
        <v>906.88950000000011</v>
      </c>
      <c r="G55" s="10">
        <f t="shared" si="1"/>
        <v>0</v>
      </c>
      <c r="H55" s="11">
        <f t="shared" si="2"/>
        <v>28.449123615000005</v>
      </c>
      <c r="I55" s="11">
        <f t="shared" si="3"/>
        <v>0</v>
      </c>
      <c r="J55" s="11">
        <f t="shared" si="4"/>
        <v>24.848772300000004</v>
      </c>
      <c r="K55" s="11">
        <f t="shared" si="5"/>
        <v>0</v>
      </c>
      <c r="L55" s="11">
        <f t="shared" si="6"/>
        <v>20.677080600000004</v>
      </c>
      <c r="M55" s="11">
        <f t="shared" si="7"/>
        <v>0</v>
      </c>
      <c r="N55" s="11">
        <f t="shared" si="8"/>
        <v>18.500545800000005</v>
      </c>
      <c r="O55" s="11">
        <f t="shared" si="9"/>
        <v>0</v>
      </c>
      <c r="P55" s="11">
        <f t="shared" si="10"/>
        <v>16.777455750000001</v>
      </c>
      <c r="Q55" s="11">
        <f t="shared" si="11"/>
        <v>0</v>
      </c>
      <c r="R55" s="531"/>
      <c r="S55" s="415"/>
    </row>
    <row r="56" spans="1:19" s="180" customFormat="1" ht="13.5" thickBot="1">
      <c r="A56" s="1320"/>
      <c r="B56" s="416"/>
      <c r="C56" s="419" t="s">
        <v>1093</v>
      </c>
      <c r="D56" s="420" t="s">
        <v>1094</v>
      </c>
      <c r="E56" s="889">
        <v>1648.89</v>
      </c>
      <c r="F56" s="8">
        <f t="shared" si="0"/>
        <v>906.88950000000011</v>
      </c>
      <c r="G56" s="10">
        <f t="shared" si="1"/>
        <v>0</v>
      </c>
      <c r="H56" s="11">
        <f t="shared" si="2"/>
        <v>28.449123615000005</v>
      </c>
      <c r="I56" s="11">
        <f t="shared" si="3"/>
        <v>0</v>
      </c>
      <c r="J56" s="11">
        <f t="shared" si="4"/>
        <v>24.848772300000004</v>
      </c>
      <c r="K56" s="11">
        <f t="shared" si="5"/>
        <v>0</v>
      </c>
      <c r="L56" s="11">
        <f t="shared" si="6"/>
        <v>20.677080600000004</v>
      </c>
      <c r="M56" s="11">
        <f t="shared" si="7"/>
        <v>0</v>
      </c>
      <c r="N56" s="11">
        <f t="shared" si="8"/>
        <v>18.500545800000005</v>
      </c>
      <c r="O56" s="11">
        <f t="shared" si="9"/>
        <v>0</v>
      </c>
      <c r="P56" s="11">
        <f t="shared" si="10"/>
        <v>16.777455750000001</v>
      </c>
      <c r="Q56" s="11">
        <f t="shared" si="11"/>
        <v>0</v>
      </c>
      <c r="R56" s="531"/>
      <c r="S56" s="415"/>
    </row>
    <row r="57" spans="1:19" s="180" customFormat="1" ht="13.5" thickBot="1">
      <c r="A57" s="1320"/>
      <c r="B57" s="416"/>
      <c r="C57" s="417" t="s">
        <v>1161</v>
      </c>
      <c r="D57" s="418" t="s">
        <v>1162</v>
      </c>
      <c r="E57" s="889">
        <v>4159.99</v>
      </c>
      <c r="F57" s="8">
        <f t="shared" si="0"/>
        <v>2287.9945000000002</v>
      </c>
      <c r="G57" s="10">
        <f t="shared" si="1"/>
        <v>0</v>
      </c>
      <c r="H57" s="11">
        <f t="shared" si="2"/>
        <v>71.774387465000018</v>
      </c>
      <c r="I57" s="11">
        <f t="shared" si="3"/>
        <v>0</v>
      </c>
      <c r="J57" s="11">
        <f t="shared" si="4"/>
        <v>62.69104930000001</v>
      </c>
      <c r="K57" s="11">
        <f t="shared" si="5"/>
        <v>0</v>
      </c>
      <c r="L57" s="11">
        <f t="shared" si="6"/>
        <v>52.166274600000008</v>
      </c>
      <c r="M57" s="11">
        <f t="shared" si="7"/>
        <v>0</v>
      </c>
      <c r="N57" s="11">
        <f t="shared" si="8"/>
        <v>46.675087800000007</v>
      </c>
      <c r="O57" s="11">
        <f t="shared" si="9"/>
        <v>0</v>
      </c>
      <c r="P57" s="11">
        <f t="shared" si="10"/>
        <v>42.327898250000004</v>
      </c>
      <c r="Q57" s="11">
        <f t="shared" si="11"/>
        <v>0</v>
      </c>
      <c r="R57" s="531"/>
      <c r="S57" s="415"/>
    </row>
    <row r="58" spans="1:19" s="180" customFormat="1" ht="13.5" thickBot="1">
      <c r="A58" s="1320"/>
      <c r="B58" s="416"/>
      <c r="C58" s="419" t="s">
        <v>1165</v>
      </c>
      <c r="D58" s="420" t="s">
        <v>1166</v>
      </c>
      <c r="E58" s="889">
        <v>3690.62</v>
      </c>
      <c r="F58" s="8">
        <f t="shared" si="0"/>
        <v>2029.8410000000001</v>
      </c>
      <c r="G58" s="10">
        <f t="shared" si="1"/>
        <v>0</v>
      </c>
      <c r="H58" s="11">
        <f t="shared" si="2"/>
        <v>63.67611217000001</v>
      </c>
      <c r="I58" s="11">
        <f t="shared" si="3"/>
        <v>0</v>
      </c>
      <c r="J58" s="11">
        <f t="shared" si="4"/>
        <v>55.617643400000006</v>
      </c>
      <c r="K58" s="11">
        <f t="shared" si="5"/>
        <v>0</v>
      </c>
      <c r="L58" s="11">
        <f t="shared" si="6"/>
        <v>46.280374800000004</v>
      </c>
      <c r="M58" s="11">
        <f t="shared" si="7"/>
        <v>0</v>
      </c>
      <c r="N58" s="11">
        <f t="shared" si="8"/>
        <v>41.408756400000009</v>
      </c>
      <c r="O58" s="11">
        <f t="shared" si="9"/>
        <v>0</v>
      </c>
      <c r="P58" s="11">
        <f t="shared" si="10"/>
        <v>37.552058500000001</v>
      </c>
      <c r="Q58" s="11">
        <f t="shared" si="11"/>
        <v>0</v>
      </c>
      <c r="R58" s="531"/>
      <c r="S58" s="415"/>
    </row>
    <row r="59" spans="1:19" s="180" customFormat="1" ht="13.5" thickBot="1">
      <c r="A59" s="1320"/>
      <c r="B59" s="416"/>
      <c r="C59" s="419" t="s">
        <v>1163</v>
      </c>
      <c r="D59" s="420" t="s">
        <v>1164</v>
      </c>
      <c r="E59" s="889">
        <v>3690.62</v>
      </c>
      <c r="F59" s="8">
        <f t="shared" si="0"/>
        <v>2029.8410000000001</v>
      </c>
      <c r="G59" s="10">
        <f t="shared" si="1"/>
        <v>0</v>
      </c>
      <c r="H59" s="11">
        <f t="shared" si="2"/>
        <v>63.67611217000001</v>
      </c>
      <c r="I59" s="11">
        <f t="shared" si="3"/>
        <v>0</v>
      </c>
      <c r="J59" s="11">
        <f t="shared" si="4"/>
        <v>55.617643400000006</v>
      </c>
      <c r="K59" s="11">
        <f t="shared" si="5"/>
        <v>0</v>
      </c>
      <c r="L59" s="11">
        <f t="shared" si="6"/>
        <v>46.280374800000004</v>
      </c>
      <c r="M59" s="11">
        <f t="shared" si="7"/>
        <v>0</v>
      </c>
      <c r="N59" s="11">
        <f t="shared" si="8"/>
        <v>41.408756400000009</v>
      </c>
      <c r="O59" s="11">
        <f t="shared" si="9"/>
        <v>0</v>
      </c>
      <c r="P59" s="11">
        <f t="shared" si="10"/>
        <v>37.552058500000001</v>
      </c>
      <c r="Q59" s="11">
        <f t="shared" si="11"/>
        <v>0</v>
      </c>
      <c r="R59" s="531"/>
      <c r="S59" s="415"/>
    </row>
    <row r="60" spans="1:19" s="180" customFormat="1" ht="13.5" thickBot="1">
      <c r="A60" s="1320"/>
      <c r="B60" s="416"/>
      <c r="C60" s="419" t="s">
        <v>1081</v>
      </c>
      <c r="D60" s="420" t="s">
        <v>1082</v>
      </c>
      <c r="E60" s="889">
        <v>1628.26</v>
      </c>
      <c r="F60" s="8">
        <f t="shared" si="0"/>
        <v>895.54300000000012</v>
      </c>
      <c r="G60" s="10">
        <f t="shared" si="1"/>
        <v>0</v>
      </c>
      <c r="H60" s="11">
        <f t="shared" si="2"/>
        <v>28.093183910000004</v>
      </c>
      <c r="I60" s="11">
        <f t="shared" si="3"/>
        <v>0</v>
      </c>
      <c r="J60" s="11">
        <f t="shared" si="4"/>
        <v>24.537878200000005</v>
      </c>
      <c r="K60" s="11">
        <f t="shared" si="5"/>
        <v>0</v>
      </c>
      <c r="L60" s="11">
        <f t="shared" si="6"/>
        <v>20.418380400000004</v>
      </c>
      <c r="M60" s="11">
        <f t="shared" si="7"/>
        <v>0</v>
      </c>
      <c r="N60" s="11">
        <f t="shared" si="8"/>
        <v>18.269077200000005</v>
      </c>
      <c r="O60" s="11">
        <f t="shared" si="9"/>
        <v>0</v>
      </c>
      <c r="P60" s="11">
        <f t="shared" si="10"/>
        <v>16.567545500000001</v>
      </c>
      <c r="Q60" s="11">
        <f t="shared" si="11"/>
        <v>0</v>
      </c>
      <c r="R60" s="531"/>
      <c r="S60" s="415"/>
    </row>
    <row r="61" spans="1:19" s="180" customFormat="1" ht="13.5" thickBot="1">
      <c r="A61" s="1320"/>
      <c r="B61" s="416"/>
      <c r="C61" s="419" t="s">
        <v>1297</v>
      </c>
      <c r="D61" s="420" t="s">
        <v>1298</v>
      </c>
      <c r="E61" s="889">
        <v>6606.6</v>
      </c>
      <c r="F61" s="8">
        <f t="shared" si="0"/>
        <v>3633.6300000000006</v>
      </c>
      <c r="G61" s="10">
        <f t="shared" si="1"/>
        <v>0</v>
      </c>
      <c r="H61" s="11">
        <f t="shared" si="2"/>
        <v>113.98697310000003</v>
      </c>
      <c r="I61" s="11">
        <f t="shared" si="3"/>
        <v>0</v>
      </c>
      <c r="J61" s="11">
        <f t="shared" si="4"/>
        <v>99.56146200000002</v>
      </c>
      <c r="K61" s="11">
        <f t="shared" si="5"/>
        <v>0</v>
      </c>
      <c r="L61" s="11">
        <f t="shared" si="6"/>
        <v>82.846764000000022</v>
      </c>
      <c r="M61" s="11">
        <f t="shared" si="7"/>
        <v>0</v>
      </c>
      <c r="N61" s="11">
        <f t="shared" si="8"/>
        <v>74.126052000000016</v>
      </c>
      <c r="O61" s="11">
        <f t="shared" si="9"/>
        <v>0</v>
      </c>
      <c r="P61" s="11">
        <f t="shared" si="10"/>
        <v>67.222155000000001</v>
      </c>
      <c r="Q61" s="11">
        <f t="shared" si="11"/>
        <v>0</v>
      </c>
      <c r="R61" s="531"/>
      <c r="S61" s="415"/>
    </row>
    <row r="62" spans="1:19" s="180" customFormat="1" ht="13.5" thickBot="1">
      <c r="A62" s="1320"/>
      <c r="B62" s="416"/>
      <c r="C62" s="417">
        <v>45204557</v>
      </c>
      <c r="D62" s="418" t="s">
        <v>4005</v>
      </c>
      <c r="E62" s="889">
        <v>12589.5</v>
      </c>
      <c r="F62" s="8">
        <f t="shared" si="0"/>
        <v>6924.2250000000004</v>
      </c>
      <c r="G62" s="10">
        <f t="shared" si="1"/>
        <v>0</v>
      </c>
      <c r="H62" s="11">
        <f t="shared" si="2"/>
        <v>217.21293825000004</v>
      </c>
      <c r="I62" s="11">
        <f t="shared" si="3"/>
        <v>0</v>
      </c>
      <c r="J62" s="11">
        <f t="shared" si="4"/>
        <v>189.72376500000001</v>
      </c>
      <c r="K62" s="11">
        <f t="shared" si="5"/>
        <v>0</v>
      </c>
      <c r="L62" s="11">
        <f t="shared" si="6"/>
        <v>157.87233000000001</v>
      </c>
      <c r="M62" s="11">
        <f t="shared" si="7"/>
        <v>0</v>
      </c>
      <c r="N62" s="11">
        <f t="shared" si="8"/>
        <v>141.25419000000002</v>
      </c>
      <c r="O62" s="11">
        <f t="shared" si="9"/>
        <v>0</v>
      </c>
      <c r="P62" s="11">
        <f t="shared" si="10"/>
        <v>128.0981625</v>
      </c>
      <c r="Q62" s="11">
        <f t="shared" si="11"/>
        <v>0</v>
      </c>
      <c r="R62" s="531"/>
      <c r="S62" s="415"/>
    </row>
    <row r="63" spans="1:19" s="180" customFormat="1" ht="13.5" thickBot="1">
      <c r="A63" s="1320"/>
      <c r="B63" s="416"/>
      <c r="C63" s="419">
        <v>45204332</v>
      </c>
      <c r="D63" s="420" t="s">
        <v>4006</v>
      </c>
      <c r="E63" s="889">
        <v>14175</v>
      </c>
      <c r="F63" s="8">
        <f t="shared" si="0"/>
        <v>7796.2500000000009</v>
      </c>
      <c r="G63" s="10">
        <f t="shared" si="1"/>
        <v>0</v>
      </c>
      <c r="H63" s="11">
        <f t="shared" si="2"/>
        <v>244.56836250000003</v>
      </c>
      <c r="I63" s="11">
        <f t="shared" si="3"/>
        <v>0</v>
      </c>
      <c r="J63" s="11">
        <f t="shared" si="4"/>
        <v>213.61725000000004</v>
      </c>
      <c r="K63" s="11">
        <f t="shared" si="5"/>
        <v>0</v>
      </c>
      <c r="L63" s="11">
        <f t="shared" si="6"/>
        <v>177.75450000000004</v>
      </c>
      <c r="M63" s="11">
        <f t="shared" si="7"/>
        <v>0</v>
      </c>
      <c r="N63" s="11">
        <f t="shared" si="8"/>
        <v>159.04350000000002</v>
      </c>
      <c r="O63" s="11">
        <f t="shared" si="9"/>
        <v>0</v>
      </c>
      <c r="P63" s="11">
        <f t="shared" si="10"/>
        <v>144.230625</v>
      </c>
      <c r="Q63" s="11">
        <f t="shared" si="11"/>
        <v>0</v>
      </c>
      <c r="R63" s="531"/>
      <c r="S63" s="415"/>
    </row>
    <row r="64" spans="1:19" s="180" customFormat="1" ht="13.5" thickBot="1">
      <c r="A64" s="1320"/>
      <c r="B64" s="416"/>
      <c r="C64" s="417" t="s">
        <v>1121</v>
      </c>
      <c r="D64" s="418" t="s">
        <v>1122</v>
      </c>
      <c r="E64" s="889">
        <v>154.84</v>
      </c>
      <c r="F64" s="8">
        <f t="shared" si="0"/>
        <v>85.162000000000006</v>
      </c>
      <c r="G64" s="10">
        <f t="shared" si="1"/>
        <v>0</v>
      </c>
      <c r="H64" s="11">
        <f t="shared" si="2"/>
        <v>2.6715319400000004</v>
      </c>
      <c r="I64" s="11">
        <f t="shared" si="3"/>
        <v>0</v>
      </c>
      <c r="J64" s="11">
        <f t="shared" si="4"/>
        <v>2.3334388000000001</v>
      </c>
      <c r="K64" s="11">
        <f t="shared" si="5"/>
        <v>0</v>
      </c>
      <c r="L64" s="11">
        <f t="shared" si="6"/>
        <v>1.9416936000000002</v>
      </c>
      <c r="M64" s="11">
        <f t="shared" si="7"/>
        <v>0</v>
      </c>
      <c r="N64" s="11">
        <f t="shared" si="8"/>
        <v>1.7373048000000002</v>
      </c>
      <c r="O64" s="11">
        <f t="shared" si="9"/>
        <v>0</v>
      </c>
      <c r="P64" s="11">
        <f t="shared" si="10"/>
        <v>1.5754969999999999</v>
      </c>
      <c r="Q64" s="11">
        <f t="shared" si="11"/>
        <v>0</v>
      </c>
      <c r="R64" s="531"/>
      <c r="S64" s="415"/>
    </row>
    <row r="65" spans="1:19" s="180" customFormat="1" ht="13.5" thickBot="1">
      <c r="A65" s="1320"/>
      <c r="B65" s="416"/>
      <c r="C65" s="419" t="s">
        <v>1111</v>
      </c>
      <c r="D65" s="420" t="s">
        <v>1112</v>
      </c>
      <c r="E65" s="889">
        <v>142.6</v>
      </c>
      <c r="F65" s="8">
        <f t="shared" si="0"/>
        <v>78.430000000000007</v>
      </c>
      <c r="G65" s="10">
        <f t="shared" si="1"/>
        <v>0</v>
      </c>
      <c r="H65" s="11">
        <f t="shared" si="2"/>
        <v>2.4603491000000002</v>
      </c>
      <c r="I65" s="11">
        <f t="shared" si="3"/>
        <v>0</v>
      </c>
      <c r="J65" s="11">
        <f t="shared" si="4"/>
        <v>2.1489820000000002</v>
      </c>
      <c r="K65" s="11">
        <f t="shared" si="5"/>
        <v>0</v>
      </c>
      <c r="L65" s="11">
        <f t="shared" si="6"/>
        <v>1.7882040000000001</v>
      </c>
      <c r="M65" s="11">
        <f t="shared" si="7"/>
        <v>0</v>
      </c>
      <c r="N65" s="11">
        <f t="shared" si="8"/>
        <v>1.5999720000000002</v>
      </c>
      <c r="O65" s="11">
        <f t="shared" si="9"/>
        <v>0</v>
      </c>
      <c r="P65" s="11">
        <f t="shared" si="10"/>
        <v>1.450955</v>
      </c>
      <c r="Q65" s="11">
        <f t="shared" si="11"/>
        <v>0</v>
      </c>
      <c r="R65" s="531"/>
      <c r="S65" s="415"/>
    </row>
    <row r="66" spans="1:19" s="180" customFormat="1" ht="13.5" thickBot="1">
      <c r="A66" s="1320"/>
      <c r="B66" s="416"/>
      <c r="C66" s="419" t="s">
        <v>1101</v>
      </c>
      <c r="D66" s="420" t="s">
        <v>1102</v>
      </c>
      <c r="E66" s="889">
        <v>141.21</v>
      </c>
      <c r="F66" s="8">
        <f t="shared" si="0"/>
        <v>77.665500000000009</v>
      </c>
      <c r="G66" s="10">
        <f t="shared" si="1"/>
        <v>0</v>
      </c>
      <c r="H66" s="11">
        <f t="shared" si="2"/>
        <v>2.4363667350000004</v>
      </c>
      <c r="I66" s="11">
        <f t="shared" si="3"/>
        <v>0</v>
      </c>
      <c r="J66" s="11">
        <f t="shared" si="4"/>
        <v>2.1280347000000002</v>
      </c>
      <c r="K66" s="11">
        <f t="shared" si="5"/>
        <v>0</v>
      </c>
      <c r="L66" s="11">
        <f t="shared" si="6"/>
        <v>1.7707734000000002</v>
      </c>
      <c r="M66" s="11">
        <f t="shared" si="7"/>
        <v>0</v>
      </c>
      <c r="N66" s="11">
        <f t="shared" si="8"/>
        <v>1.5843762000000003</v>
      </c>
      <c r="O66" s="11">
        <f t="shared" si="9"/>
        <v>0</v>
      </c>
      <c r="P66" s="11">
        <f t="shared" si="10"/>
        <v>1.4368117500000002</v>
      </c>
      <c r="Q66" s="11">
        <f t="shared" si="11"/>
        <v>0</v>
      </c>
      <c r="R66" s="531"/>
      <c r="S66" s="415"/>
    </row>
    <row r="67" spans="1:19" s="180" customFormat="1" ht="13.5" thickBot="1">
      <c r="A67" s="1320"/>
      <c r="B67" s="416"/>
      <c r="C67" s="419" t="s">
        <v>1103</v>
      </c>
      <c r="D67" s="420" t="s">
        <v>1104</v>
      </c>
      <c r="E67" s="889">
        <v>122.89</v>
      </c>
      <c r="F67" s="8">
        <f t="shared" si="0"/>
        <v>67.589500000000001</v>
      </c>
      <c r="G67" s="10">
        <f t="shared" si="1"/>
        <v>0</v>
      </c>
      <c r="H67" s="11">
        <f t="shared" si="2"/>
        <v>2.1202826150000003</v>
      </c>
      <c r="I67" s="11">
        <f t="shared" si="3"/>
        <v>0</v>
      </c>
      <c r="J67" s="11">
        <f t="shared" si="4"/>
        <v>1.8519523</v>
      </c>
      <c r="K67" s="11">
        <f t="shared" si="5"/>
        <v>0</v>
      </c>
      <c r="L67" s="11">
        <f t="shared" si="6"/>
        <v>1.5410406000000001</v>
      </c>
      <c r="M67" s="11">
        <f t="shared" si="7"/>
        <v>0</v>
      </c>
      <c r="N67" s="11">
        <f t="shared" si="8"/>
        <v>1.3788258000000002</v>
      </c>
      <c r="O67" s="11">
        <f t="shared" si="9"/>
        <v>0</v>
      </c>
      <c r="P67" s="11">
        <f t="shared" si="10"/>
        <v>1.2504057499999999</v>
      </c>
      <c r="Q67" s="11">
        <f t="shared" si="11"/>
        <v>0</v>
      </c>
      <c r="R67" s="531"/>
      <c r="S67" s="415"/>
    </row>
    <row r="68" spans="1:19" s="180" customFormat="1" ht="13.5" thickBot="1">
      <c r="A68" s="1320"/>
      <c r="B68" s="416"/>
      <c r="C68" s="419" t="s">
        <v>1113</v>
      </c>
      <c r="D68" s="420" t="s">
        <v>1114</v>
      </c>
      <c r="E68" s="889">
        <v>124.08</v>
      </c>
      <c r="F68" s="8">
        <f t="shared" si="0"/>
        <v>68.244</v>
      </c>
      <c r="G68" s="10">
        <f t="shared" si="1"/>
        <v>0</v>
      </c>
      <c r="H68" s="11">
        <f t="shared" si="2"/>
        <v>2.1408142800000003</v>
      </c>
      <c r="I68" s="11">
        <f t="shared" si="3"/>
        <v>0</v>
      </c>
      <c r="J68" s="11">
        <f t="shared" si="4"/>
        <v>1.8698856000000001</v>
      </c>
      <c r="K68" s="11">
        <f t="shared" si="5"/>
        <v>0</v>
      </c>
      <c r="L68" s="11">
        <f t="shared" si="6"/>
        <v>1.5559632000000001</v>
      </c>
      <c r="M68" s="11">
        <f t="shared" si="7"/>
        <v>0</v>
      </c>
      <c r="N68" s="11">
        <f t="shared" si="8"/>
        <v>1.3921776000000001</v>
      </c>
      <c r="O68" s="11">
        <f t="shared" si="9"/>
        <v>0</v>
      </c>
      <c r="P68" s="11">
        <f t="shared" si="10"/>
        <v>1.2625139999999999</v>
      </c>
      <c r="Q68" s="11">
        <f t="shared" si="11"/>
        <v>0</v>
      </c>
      <c r="R68" s="531"/>
      <c r="S68" s="415"/>
    </row>
    <row r="69" spans="1:19" s="180" customFormat="1" ht="13.5" thickBot="1">
      <c r="A69" s="1320"/>
      <c r="B69" s="416"/>
      <c r="C69" s="417" t="s">
        <v>1107</v>
      </c>
      <c r="D69" s="418" t="s">
        <v>1108</v>
      </c>
      <c r="E69" s="889">
        <v>111.45</v>
      </c>
      <c r="F69" s="8">
        <f t="shared" si="0"/>
        <v>61.297500000000007</v>
      </c>
      <c r="G69" s="10">
        <f t="shared" si="1"/>
        <v>0</v>
      </c>
      <c r="H69" s="11">
        <f t="shared" si="2"/>
        <v>1.9229025750000004</v>
      </c>
      <c r="I69" s="11">
        <f t="shared" si="3"/>
        <v>0</v>
      </c>
      <c r="J69" s="11">
        <f t="shared" si="4"/>
        <v>1.6795515000000003</v>
      </c>
      <c r="K69" s="11">
        <f t="shared" si="5"/>
        <v>0</v>
      </c>
      <c r="L69" s="11">
        <f t="shared" si="6"/>
        <v>1.3975830000000002</v>
      </c>
      <c r="M69" s="11">
        <f t="shared" si="7"/>
        <v>0</v>
      </c>
      <c r="N69" s="11">
        <f t="shared" si="8"/>
        <v>1.2504690000000003</v>
      </c>
      <c r="O69" s="11">
        <f t="shared" si="9"/>
        <v>0</v>
      </c>
      <c r="P69" s="11">
        <f t="shared" si="10"/>
        <v>1.13400375</v>
      </c>
      <c r="Q69" s="11">
        <f t="shared" si="11"/>
        <v>0</v>
      </c>
      <c r="R69" s="531"/>
      <c r="S69" s="415"/>
    </row>
    <row r="70" spans="1:19" s="180" customFormat="1" ht="13.5" thickBot="1">
      <c r="A70" s="1320"/>
      <c r="B70" s="416"/>
      <c r="C70" s="419" t="s">
        <v>1123</v>
      </c>
      <c r="D70" s="420" t="s">
        <v>1124</v>
      </c>
      <c r="E70" s="889">
        <v>134.54</v>
      </c>
      <c r="F70" s="8">
        <f t="shared" si="0"/>
        <v>73.997</v>
      </c>
      <c r="G70" s="10">
        <f t="shared" si="1"/>
        <v>0</v>
      </c>
      <c r="H70" s="11">
        <f t="shared" si="2"/>
        <v>2.32128589</v>
      </c>
      <c r="I70" s="11">
        <f t="shared" si="3"/>
        <v>0</v>
      </c>
      <c r="J70" s="11">
        <f t="shared" si="4"/>
        <v>2.0275178</v>
      </c>
      <c r="K70" s="11">
        <f t="shared" si="5"/>
        <v>0</v>
      </c>
      <c r="L70" s="11">
        <f t="shared" si="6"/>
        <v>1.6871316000000001</v>
      </c>
      <c r="M70" s="11">
        <f t="shared" si="7"/>
        <v>0</v>
      </c>
      <c r="N70" s="11">
        <f t="shared" si="8"/>
        <v>1.5095388000000001</v>
      </c>
      <c r="O70" s="11">
        <f t="shared" si="9"/>
        <v>0</v>
      </c>
      <c r="P70" s="11">
        <f t="shared" si="10"/>
        <v>1.3689445</v>
      </c>
      <c r="Q70" s="11">
        <f t="shared" si="11"/>
        <v>0</v>
      </c>
      <c r="R70" s="531"/>
      <c r="S70" s="415"/>
    </row>
    <row r="71" spans="1:19" s="180" customFormat="1" ht="13.5" thickBot="1">
      <c r="A71" s="1320"/>
      <c r="B71" s="416"/>
      <c r="C71" s="419" t="s">
        <v>1105</v>
      </c>
      <c r="D71" s="420" t="s">
        <v>1106</v>
      </c>
      <c r="E71" s="889">
        <v>113.74</v>
      </c>
      <c r="F71" s="8">
        <f t="shared" si="0"/>
        <v>62.557000000000002</v>
      </c>
      <c r="G71" s="10">
        <f t="shared" si="1"/>
        <v>0</v>
      </c>
      <c r="H71" s="11">
        <f t="shared" si="2"/>
        <v>1.9624130900000003</v>
      </c>
      <c r="I71" s="11">
        <f t="shared" si="3"/>
        <v>0</v>
      </c>
      <c r="J71" s="11">
        <f t="shared" si="4"/>
        <v>1.7140618000000001</v>
      </c>
      <c r="K71" s="11">
        <f t="shared" si="5"/>
        <v>0</v>
      </c>
      <c r="L71" s="11">
        <f t="shared" si="6"/>
        <v>1.4262996000000001</v>
      </c>
      <c r="M71" s="11">
        <f t="shared" si="7"/>
        <v>0</v>
      </c>
      <c r="N71" s="11">
        <f t="shared" si="8"/>
        <v>1.2761628</v>
      </c>
      <c r="O71" s="11">
        <f t="shared" si="9"/>
        <v>0</v>
      </c>
      <c r="P71" s="11">
        <f t="shared" si="10"/>
        <v>1.1573045</v>
      </c>
      <c r="Q71" s="11">
        <f t="shared" si="11"/>
        <v>0</v>
      </c>
      <c r="R71" s="531"/>
      <c r="S71" s="415"/>
    </row>
    <row r="72" spans="1:19" s="180" customFormat="1" ht="13.5" thickBot="1">
      <c r="A72" s="1320"/>
      <c r="B72" s="416"/>
      <c r="C72" s="419" t="s">
        <v>1125</v>
      </c>
      <c r="D72" s="420" t="s">
        <v>1126</v>
      </c>
      <c r="E72" s="889">
        <v>124.34</v>
      </c>
      <c r="F72" s="8">
        <f t="shared" si="0"/>
        <v>68.387</v>
      </c>
      <c r="G72" s="10">
        <f t="shared" si="1"/>
        <v>0</v>
      </c>
      <c r="H72" s="11">
        <f t="shared" si="2"/>
        <v>2.1453001899999999</v>
      </c>
      <c r="I72" s="11">
        <f t="shared" si="3"/>
        <v>0</v>
      </c>
      <c r="J72" s="11">
        <f t="shared" si="4"/>
        <v>1.8738038000000001</v>
      </c>
      <c r="K72" s="11">
        <f t="shared" si="5"/>
        <v>0</v>
      </c>
      <c r="L72" s="11">
        <f t="shared" si="6"/>
        <v>1.5592236000000002</v>
      </c>
      <c r="M72" s="11">
        <f t="shared" si="7"/>
        <v>0</v>
      </c>
      <c r="N72" s="11">
        <f t="shared" si="8"/>
        <v>1.3950948000000001</v>
      </c>
      <c r="O72" s="11">
        <f t="shared" si="9"/>
        <v>0</v>
      </c>
      <c r="P72" s="11">
        <f t="shared" si="10"/>
        <v>1.2651595</v>
      </c>
      <c r="Q72" s="11">
        <f t="shared" si="11"/>
        <v>0</v>
      </c>
      <c r="R72" s="531"/>
      <c r="S72" s="415"/>
    </row>
    <row r="73" spans="1:19" s="180" customFormat="1" ht="13.5" thickBot="1">
      <c r="A73" s="1320"/>
      <c r="B73" s="416"/>
      <c r="C73" s="419" t="s">
        <v>1115</v>
      </c>
      <c r="D73" s="420" t="s">
        <v>1116</v>
      </c>
      <c r="E73" s="889">
        <v>118.33</v>
      </c>
      <c r="F73" s="8">
        <f t="shared" si="0"/>
        <v>65.081500000000005</v>
      </c>
      <c r="G73" s="10">
        <f t="shared" si="1"/>
        <v>0</v>
      </c>
      <c r="H73" s="11">
        <f t="shared" si="2"/>
        <v>2.0416066550000003</v>
      </c>
      <c r="I73" s="11">
        <f t="shared" si="3"/>
        <v>0</v>
      </c>
      <c r="J73" s="11">
        <f t="shared" si="4"/>
        <v>1.7832331000000001</v>
      </c>
      <c r="K73" s="11">
        <f t="shared" si="5"/>
        <v>0</v>
      </c>
      <c r="L73" s="11">
        <f t="shared" si="6"/>
        <v>1.4838582000000002</v>
      </c>
      <c r="M73" s="11">
        <f t="shared" si="7"/>
        <v>0</v>
      </c>
      <c r="N73" s="11">
        <f t="shared" si="8"/>
        <v>1.3276626000000002</v>
      </c>
      <c r="O73" s="11">
        <f t="shared" si="9"/>
        <v>0</v>
      </c>
      <c r="P73" s="11">
        <f t="shared" si="10"/>
        <v>1.2040077499999999</v>
      </c>
      <c r="Q73" s="11">
        <f t="shared" si="11"/>
        <v>0</v>
      </c>
      <c r="R73" s="531"/>
      <c r="S73" s="415"/>
    </row>
    <row r="74" spans="1:19" s="180" customFormat="1" ht="13.5" thickBot="1">
      <c r="A74" s="1320"/>
      <c r="B74" s="416"/>
      <c r="C74" s="417" t="s">
        <v>1127</v>
      </c>
      <c r="D74" s="418" t="s">
        <v>1128</v>
      </c>
      <c r="E74" s="889">
        <v>122.49</v>
      </c>
      <c r="F74" s="8">
        <f t="shared" si="0"/>
        <v>67.369500000000002</v>
      </c>
      <c r="G74" s="10">
        <f t="shared" si="1"/>
        <v>0</v>
      </c>
      <c r="H74" s="11">
        <f t="shared" si="2"/>
        <v>2.1133812150000004</v>
      </c>
      <c r="I74" s="11">
        <f t="shared" si="3"/>
        <v>0</v>
      </c>
      <c r="J74" s="11">
        <f t="shared" si="4"/>
        <v>1.8459243000000001</v>
      </c>
      <c r="K74" s="11">
        <f t="shared" si="5"/>
        <v>0</v>
      </c>
      <c r="L74" s="11">
        <f t="shared" si="6"/>
        <v>1.5360246000000002</v>
      </c>
      <c r="M74" s="11">
        <f t="shared" si="7"/>
        <v>0</v>
      </c>
      <c r="N74" s="11">
        <f t="shared" si="8"/>
        <v>1.3743378000000002</v>
      </c>
      <c r="O74" s="11">
        <f t="shared" si="9"/>
        <v>0</v>
      </c>
      <c r="P74" s="11">
        <f t="shared" si="10"/>
        <v>1.2463357500000001</v>
      </c>
      <c r="Q74" s="11">
        <f t="shared" si="11"/>
        <v>0</v>
      </c>
      <c r="R74" s="531"/>
      <c r="S74" s="415"/>
    </row>
    <row r="75" spans="1:19" s="180" customFormat="1" ht="13.5" thickBot="1">
      <c r="A75" s="1320"/>
      <c r="B75" s="416"/>
      <c r="C75" s="419" t="s">
        <v>1117</v>
      </c>
      <c r="D75" s="420" t="s">
        <v>1118</v>
      </c>
      <c r="E75" s="889">
        <v>115.93</v>
      </c>
      <c r="F75" s="8">
        <f t="shared" si="0"/>
        <v>63.761500000000012</v>
      </c>
      <c r="G75" s="10">
        <f t="shared" si="1"/>
        <v>0</v>
      </c>
      <c r="H75" s="11">
        <f t="shared" si="2"/>
        <v>2.0001982550000004</v>
      </c>
      <c r="I75" s="11">
        <f t="shared" si="3"/>
        <v>0</v>
      </c>
      <c r="J75" s="11">
        <f t="shared" si="4"/>
        <v>1.7470651000000004</v>
      </c>
      <c r="K75" s="11">
        <f t="shared" si="5"/>
        <v>0</v>
      </c>
      <c r="L75" s="11">
        <f t="shared" si="6"/>
        <v>1.4537622000000003</v>
      </c>
      <c r="M75" s="11">
        <f t="shared" si="7"/>
        <v>0</v>
      </c>
      <c r="N75" s="11">
        <f t="shared" si="8"/>
        <v>1.3007346000000004</v>
      </c>
      <c r="O75" s="11">
        <f t="shared" si="9"/>
        <v>0</v>
      </c>
      <c r="P75" s="11">
        <f t="shared" si="10"/>
        <v>1.1795877500000003</v>
      </c>
      <c r="Q75" s="11">
        <f t="shared" si="11"/>
        <v>0</v>
      </c>
      <c r="R75" s="531"/>
      <c r="S75" s="415"/>
    </row>
    <row r="76" spans="1:19" s="180" customFormat="1" ht="13.5" thickBot="1">
      <c r="A76" s="1320"/>
      <c r="B76" s="416"/>
      <c r="C76" s="419" t="s">
        <v>1109</v>
      </c>
      <c r="D76" s="420" t="s">
        <v>1110</v>
      </c>
      <c r="E76" s="889">
        <v>105.33</v>
      </c>
      <c r="F76" s="8">
        <f t="shared" si="0"/>
        <v>57.931500000000007</v>
      </c>
      <c r="G76" s="10">
        <f t="shared" si="1"/>
        <v>0</v>
      </c>
      <c r="H76" s="11">
        <f t="shared" si="2"/>
        <v>1.8173111550000003</v>
      </c>
      <c r="I76" s="11">
        <f t="shared" si="3"/>
        <v>0</v>
      </c>
      <c r="J76" s="11">
        <f t="shared" si="4"/>
        <v>1.5873231000000003</v>
      </c>
      <c r="K76" s="11">
        <f t="shared" si="5"/>
        <v>0</v>
      </c>
      <c r="L76" s="11">
        <f t="shared" si="6"/>
        <v>1.3208382000000003</v>
      </c>
      <c r="M76" s="11">
        <f t="shared" si="7"/>
        <v>0</v>
      </c>
      <c r="N76" s="11">
        <f t="shared" si="8"/>
        <v>1.1818026000000001</v>
      </c>
      <c r="O76" s="11">
        <f t="shared" si="9"/>
        <v>0</v>
      </c>
      <c r="P76" s="11">
        <f t="shared" si="10"/>
        <v>1.07173275</v>
      </c>
      <c r="Q76" s="11">
        <f t="shared" si="11"/>
        <v>0</v>
      </c>
      <c r="R76" s="531"/>
      <c r="S76" s="415"/>
    </row>
    <row r="77" spans="1:19" s="180" customFormat="1" ht="13.5" thickBot="1">
      <c r="A77" s="1320"/>
      <c r="B77" s="416"/>
      <c r="C77" s="417" t="s">
        <v>1129</v>
      </c>
      <c r="D77" s="418" t="s">
        <v>1130</v>
      </c>
      <c r="E77" s="889">
        <v>115.12</v>
      </c>
      <c r="F77" s="8">
        <f t="shared" si="0"/>
        <v>63.31600000000001</v>
      </c>
      <c r="G77" s="10">
        <f t="shared" si="1"/>
        <v>0</v>
      </c>
      <c r="H77" s="11">
        <f t="shared" si="2"/>
        <v>1.9862229200000003</v>
      </c>
      <c r="I77" s="11">
        <f t="shared" si="3"/>
        <v>0</v>
      </c>
      <c r="J77" s="11">
        <f t="shared" si="4"/>
        <v>1.7348584000000002</v>
      </c>
      <c r="K77" s="11">
        <f t="shared" si="5"/>
        <v>0</v>
      </c>
      <c r="L77" s="11">
        <f t="shared" si="6"/>
        <v>1.4436048000000004</v>
      </c>
      <c r="M77" s="11">
        <f t="shared" si="7"/>
        <v>0</v>
      </c>
      <c r="N77" s="11">
        <f t="shared" si="8"/>
        <v>1.2916464000000003</v>
      </c>
      <c r="O77" s="11">
        <f t="shared" si="9"/>
        <v>0</v>
      </c>
      <c r="P77" s="11">
        <f t="shared" si="10"/>
        <v>1.1713460000000002</v>
      </c>
      <c r="Q77" s="11">
        <f t="shared" si="11"/>
        <v>0</v>
      </c>
      <c r="R77" s="531"/>
      <c r="S77" s="415"/>
    </row>
    <row r="78" spans="1:19" s="180" customFormat="1" ht="13.5" thickBot="1">
      <c r="A78" s="1320"/>
      <c r="B78" s="416"/>
      <c r="C78" s="417" t="s">
        <v>1119</v>
      </c>
      <c r="D78" s="418" t="s">
        <v>1120</v>
      </c>
      <c r="E78" s="889">
        <v>103.1</v>
      </c>
      <c r="F78" s="8">
        <f t="shared" si="0"/>
        <v>56.704999999999998</v>
      </c>
      <c r="G78" s="10">
        <f t="shared" si="1"/>
        <v>0</v>
      </c>
      <c r="H78" s="11">
        <f t="shared" si="2"/>
        <v>1.7788358500000001</v>
      </c>
      <c r="I78" s="11">
        <f t="shared" si="3"/>
        <v>0</v>
      </c>
      <c r="J78" s="11">
        <f t="shared" si="4"/>
        <v>1.553717</v>
      </c>
      <c r="K78" s="11">
        <f t="shared" si="5"/>
        <v>0</v>
      </c>
      <c r="L78" s="11">
        <f t="shared" si="6"/>
        <v>1.2928740000000001</v>
      </c>
      <c r="M78" s="11">
        <f t="shared" si="7"/>
        <v>0</v>
      </c>
      <c r="N78" s="11">
        <f t="shared" si="8"/>
        <v>1.156782</v>
      </c>
      <c r="O78" s="11">
        <f t="shared" si="9"/>
        <v>0</v>
      </c>
      <c r="P78" s="11">
        <f t="shared" si="10"/>
        <v>1.0490424999999999</v>
      </c>
      <c r="Q78" s="11">
        <f t="shared" si="11"/>
        <v>0</v>
      </c>
      <c r="R78" s="531"/>
      <c r="S78" s="415"/>
    </row>
    <row r="79" spans="1:19" s="180" customFormat="1" ht="13.5" thickBot="1">
      <c r="A79" s="1320"/>
      <c r="B79" s="416"/>
      <c r="C79" s="419" t="s">
        <v>1155</v>
      </c>
      <c r="D79" s="420" t="s">
        <v>1156</v>
      </c>
      <c r="E79" s="889">
        <v>99.44</v>
      </c>
      <c r="F79" s="8">
        <f t="shared" si="0"/>
        <v>54.692</v>
      </c>
      <c r="G79" s="10">
        <f t="shared" si="1"/>
        <v>0</v>
      </c>
      <c r="H79" s="11">
        <f t="shared" si="2"/>
        <v>1.7156880400000001</v>
      </c>
      <c r="I79" s="11">
        <f t="shared" si="3"/>
        <v>0</v>
      </c>
      <c r="J79" s="11">
        <f t="shared" si="4"/>
        <v>1.4985608000000001</v>
      </c>
      <c r="K79" s="11">
        <f t="shared" si="5"/>
        <v>0</v>
      </c>
      <c r="L79" s="11">
        <f t="shared" si="6"/>
        <v>1.2469776000000001</v>
      </c>
      <c r="M79" s="11">
        <f t="shared" si="7"/>
        <v>0</v>
      </c>
      <c r="N79" s="11">
        <f t="shared" si="8"/>
        <v>1.1157168000000002</v>
      </c>
      <c r="O79" s="11">
        <f t="shared" si="9"/>
        <v>0</v>
      </c>
      <c r="P79" s="11">
        <f t="shared" si="10"/>
        <v>1.0118019999999999</v>
      </c>
      <c r="Q79" s="11">
        <f t="shared" si="11"/>
        <v>0</v>
      </c>
      <c r="R79" s="531"/>
      <c r="S79" s="415"/>
    </row>
    <row r="80" spans="1:19" s="180" customFormat="1" ht="13.5" thickBot="1">
      <c r="A80" s="1320"/>
      <c r="B80" s="416"/>
      <c r="C80" s="419" t="s">
        <v>1157</v>
      </c>
      <c r="D80" s="420" t="s">
        <v>1158</v>
      </c>
      <c r="E80" s="889">
        <v>99.44</v>
      </c>
      <c r="F80" s="8">
        <f t="shared" si="0"/>
        <v>54.692</v>
      </c>
      <c r="G80" s="10">
        <f t="shared" si="1"/>
        <v>0</v>
      </c>
      <c r="H80" s="11">
        <f t="shared" si="2"/>
        <v>1.7156880400000001</v>
      </c>
      <c r="I80" s="11">
        <f t="shared" si="3"/>
        <v>0</v>
      </c>
      <c r="J80" s="11">
        <f t="shared" si="4"/>
        <v>1.4985608000000001</v>
      </c>
      <c r="K80" s="11">
        <f t="shared" si="5"/>
        <v>0</v>
      </c>
      <c r="L80" s="11">
        <f t="shared" si="6"/>
        <v>1.2469776000000001</v>
      </c>
      <c r="M80" s="11">
        <f t="shared" si="7"/>
        <v>0</v>
      </c>
      <c r="N80" s="11">
        <f t="shared" si="8"/>
        <v>1.1157168000000002</v>
      </c>
      <c r="O80" s="11">
        <f t="shared" si="9"/>
        <v>0</v>
      </c>
      <c r="P80" s="11">
        <f t="shared" si="10"/>
        <v>1.0118019999999999</v>
      </c>
      <c r="Q80" s="11">
        <f t="shared" si="11"/>
        <v>0</v>
      </c>
      <c r="R80" s="531"/>
      <c r="S80" s="415"/>
    </row>
    <row r="81" spans="1:19" s="180" customFormat="1" ht="13.5" thickBot="1">
      <c r="A81" s="1320"/>
      <c r="B81" s="416"/>
      <c r="C81" s="419" t="s">
        <v>1159</v>
      </c>
      <c r="D81" s="420" t="s">
        <v>1160</v>
      </c>
      <c r="E81" s="889">
        <v>99.44</v>
      </c>
      <c r="F81" s="8">
        <f t="shared" si="0"/>
        <v>54.692</v>
      </c>
      <c r="G81" s="10">
        <f t="shared" si="1"/>
        <v>0</v>
      </c>
      <c r="H81" s="11">
        <f t="shared" si="2"/>
        <v>1.7156880400000001</v>
      </c>
      <c r="I81" s="11">
        <f t="shared" si="3"/>
        <v>0</v>
      </c>
      <c r="J81" s="11">
        <f t="shared" si="4"/>
        <v>1.4985608000000001</v>
      </c>
      <c r="K81" s="11">
        <f t="shared" si="5"/>
        <v>0</v>
      </c>
      <c r="L81" s="11">
        <f t="shared" si="6"/>
        <v>1.2469776000000001</v>
      </c>
      <c r="M81" s="11">
        <f t="shared" si="7"/>
        <v>0</v>
      </c>
      <c r="N81" s="11">
        <f t="shared" si="8"/>
        <v>1.1157168000000002</v>
      </c>
      <c r="O81" s="11">
        <f t="shared" si="9"/>
        <v>0</v>
      </c>
      <c r="P81" s="11">
        <f t="shared" si="10"/>
        <v>1.0118019999999999</v>
      </c>
      <c r="Q81" s="11">
        <f t="shared" si="11"/>
        <v>0</v>
      </c>
      <c r="R81" s="531"/>
      <c r="S81" s="415"/>
    </row>
    <row r="82" spans="1:19" s="180" customFormat="1" ht="13.5" thickBot="1">
      <c r="A82" s="1320"/>
      <c r="B82" s="416"/>
      <c r="C82" s="417" t="s">
        <v>1299</v>
      </c>
      <c r="D82" s="418" t="s">
        <v>1300</v>
      </c>
      <c r="E82" s="889">
        <v>924.92</v>
      </c>
      <c r="F82" s="8">
        <f t="shared" si="0"/>
        <v>508.70600000000002</v>
      </c>
      <c r="G82" s="10">
        <f t="shared" si="1"/>
        <v>0</v>
      </c>
      <c r="H82" s="11">
        <f t="shared" si="2"/>
        <v>15.958107220000002</v>
      </c>
      <c r="I82" s="11">
        <f t="shared" si="3"/>
        <v>0</v>
      </c>
      <c r="J82" s="11">
        <f t="shared" si="4"/>
        <v>13.938544400000001</v>
      </c>
      <c r="K82" s="11">
        <f t="shared" si="5"/>
        <v>0</v>
      </c>
      <c r="L82" s="11">
        <f t="shared" si="6"/>
        <v>11.598496800000001</v>
      </c>
      <c r="M82" s="11">
        <f t="shared" si="7"/>
        <v>0</v>
      </c>
      <c r="N82" s="11">
        <f t="shared" si="8"/>
        <v>10.377602400000001</v>
      </c>
      <c r="O82" s="11">
        <f t="shared" si="9"/>
        <v>0</v>
      </c>
      <c r="P82" s="11">
        <f t="shared" si="10"/>
        <v>9.4110610000000001</v>
      </c>
      <c r="Q82" s="11">
        <f t="shared" si="11"/>
        <v>0</v>
      </c>
      <c r="R82" s="531"/>
      <c r="S82" s="415"/>
    </row>
    <row r="83" spans="1:19" s="180" customFormat="1" ht="13.5" thickBot="1">
      <c r="A83" s="1320"/>
      <c r="B83" s="416"/>
      <c r="C83" s="417" t="s">
        <v>1201</v>
      </c>
      <c r="D83" s="418" t="s">
        <v>1202</v>
      </c>
      <c r="E83" s="889">
        <v>25001.78</v>
      </c>
      <c r="F83" s="8">
        <f t="shared" si="0"/>
        <v>13750.979000000001</v>
      </c>
      <c r="G83" s="10">
        <f t="shared" si="1"/>
        <v>0</v>
      </c>
      <c r="H83" s="11">
        <f t="shared" si="2"/>
        <v>431.36821123000004</v>
      </c>
      <c r="I83" s="11">
        <f t="shared" si="3"/>
        <v>0</v>
      </c>
      <c r="J83" s="11">
        <f t="shared" si="4"/>
        <v>376.77682460000005</v>
      </c>
      <c r="K83" s="11">
        <f t="shared" si="5"/>
        <v>0</v>
      </c>
      <c r="L83" s="11">
        <f t="shared" si="6"/>
        <v>313.52232120000002</v>
      </c>
      <c r="M83" s="11">
        <f t="shared" si="7"/>
        <v>0</v>
      </c>
      <c r="N83" s="11">
        <f t="shared" si="8"/>
        <v>280.51997160000002</v>
      </c>
      <c r="O83" s="11">
        <f t="shared" si="9"/>
        <v>0</v>
      </c>
      <c r="P83" s="11">
        <f t="shared" si="10"/>
        <v>254.3931115</v>
      </c>
      <c r="Q83" s="11">
        <f t="shared" si="11"/>
        <v>0</v>
      </c>
      <c r="R83" s="531"/>
      <c r="S83" s="415"/>
    </row>
    <row r="84" spans="1:19" s="180" customFormat="1" ht="13.5" thickBot="1">
      <c r="A84" s="1320"/>
      <c r="B84" s="416"/>
      <c r="C84" s="419" t="s">
        <v>1203</v>
      </c>
      <c r="D84" s="420" t="s">
        <v>1204</v>
      </c>
      <c r="E84" s="889">
        <v>15459.44</v>
      </c>
      <c r="F84" s="8">
        <f t="shared" si="0"/>
        <v>8502.6920000000009</v>
      </c>
      <c r="G84" s="10">
        <f t="shared" si="1"/>
        <v>0</v>
      </c>
      <c r="H84" s="11">
        <f t="shared" si="2"/>
        <v>266.72944804000002</v>
      </c>
      <c r="I84" s="11">
        <f t="shared" si="3"/>
        <v>0</v>
      </c>
      <c r="J84" s="11">
        <f t="shared" si="4"/>
        <v>232.97376080000004</v>
      </c>
      <c r="K84" s="11">
        <f t="shared" si="5"/>
        <v>0</v>
      </c>
      <c r="L84" s="11">
        <f t="shared" si="6"/>
        <v>193.86137760000003</v>
      </c>
      <c r="M84" s="11">
        <f t="shared" si="7"/>
        <v>0</v>
      </c>
      <c r="N84" s="11">
        <f t="shared" si="8"/>
        <v>173.45491680000003</v>
      </c>
      <c r="O84" s="11">
        <f t="shared" si="9"/>
        <v>0</v>
      </c>
      <c r="P84" s="11">
        <f t="shared" si="10"/>
        <v>157.299802</v>
      </c>
      <c r="Q84" s="11">
        <f t="shared" si="11"/>
        <v>0</v>
      </c>
      <c r="R84" s="531"/>
      <c r="S84" s="415"/>
    </row>
    <row r="85" spans="1:19" s="180" customFormat="1" ht="13.5" thickBot="1">
      <c r="A85" s="1320"/>
      <c r="B85" s="416"/>
      <c r="C85" s="419">
        <v>45112781</v>
      </c>
      <c r="D85" s="420" t="s">
        <v>4029</v>
      </c>
      <c r="E85" s="889">
        <v>7870.72</v>
      </c>
      <c r="F85" s="8">
        <f t="shared" si="0"/>
        <v>4328.8960000000006</v>
      </c>
      <c r="G85" s="10">
        <f t="shared" si="1"/>
        <v>0</v>
      </c>
      <c r="H85" s="11">
        <f t="shared" si="2"/>
        <v>135.79746752000003</v>
      </c>
      <c r="I85" s="11">
        <f t="shared" si="3"/>
        <v>0</v>
      </c>
      <c r="J85" s="11">
        <f t="shared" si="4"/>
        <v>118.61175040000002</v>
      </c>
      <c r="K85" s="11">
        <f t="shared" si="5"/>
        <v>0</v>
      </c>
      <c r="L85" s="11">
        <f t="shared" si="6"/>
        <v>98.698828800000015</v>
      </c>
      <c r="M85" s="11">
        <f t="shared" si="7"/>
        <v>0</v>
      </c>
      <c r="N85" s="11">
        <f t="shared" si="8"/>
        <v>88.309478400000017</v>
      </c>
      <c r="O85" s="11">
        <f t="shared" si="9"/>
        <v>0</v>
      </c>
      <c r="P85" s="11">
        <f t="shared" si="10"/>
        <v>80.084576000000013</v>
      </c>
      <c r="Q85" s="11">
        <f t="shared" si="11"/>
        <v>0</v>
      </c>
      <c r="R85" s="531"/>
      <c r="S85" s="415"/>
    </row>
    <row r="86" spans="1:19" s="180" customFormat="1" ht="13.5" thickBot="1">
      <c r="A86" s="1320"/>
      <c r="B86" s="416"/>
      <c r="C86" s="417" t="s">
        <v>1134</v>
      </c>
      <c r="D86" s="418" t="s">
        <v>1135</v>
      </c>
      <c r="E86" s="889">
        <v>6878.07</v>
      </c>
      <c r="F86" s="8">
        <f t="shared" si="0"/>
        <v>3782.9385000000002</v>
      </c>
      <c r="G86" s="10">
        <f t="shared" si="1"/>
        <v>0</v>
      </c>
      <c r="H86" s="11">
        <f t="shared" si="2"/>
        <v>118.67078074500002</v>
      </c>
      <c r="I86" s="11">
        <f t="shared" si="3"/>
        <v>0</v>
      </c>
      <c r="J86" s="11">
        <f t="shared" si="4"/>
        <v>103.65251490000001</v>
      </c>
      <c r="K86" s="11">
        <f t="shared" si="5"/>
        <v>0</v>
      </c>
      <c r="L86" s="11">
        <f t="shared" si="6"/>
        <v>86.250997800000007</v>
      </c>
      <c r="M86" s="11">
        <f t="shared" si="7"/>
        <v>0</v>
      </c>
      <c r="N86" s="11">
        <f t="shared" si="8"/>
        <v>77.171945400000013</v>
      </c>
      <c r="O86" s="11">
        <f t="shared" si="9"/>
        <v>0</v>
      </c>
      <c r="P86" s="11">
        <f t="shared" si="10"/>
        <v>69.984362250000004</v>
      </c>
      <c r="Q86" s="11">
        <f t="shared" si="11"/>
        <v>0</v>
      </c>
      <c r="R86" s="531"/>
      <c r="S86" s="415"/>
    </row>
    <row r="87" spans="1:19" s="180" customFormat="1" ht="13.5" thickBot="1">
      <c r="A87" s="1320"/>
      <c r="B87" s="416"/>
      <c r="C87" s="419" t="s">
        <v>4007</v>
      </c>
      <c r="D87" s="420" t="s">
        <v>4008</v>
      </c>
      <c r="E87" s="889">
        <v>26500</v>
      </c>
      <c r="F87" s="8">
        <f t="shared" si="0"/>
        <v>14575.000000000002</v>
      </c>
      <c r="G87" s="10">
        <f t="shared" si="1"/>
        <v>0</v>
      </c>
      <c r="H87" s="11">
        <f t="shared" si="2"/>
        <v>457.21775000000008</v>
      </c>
      <c r="I87" s="11">
        <f t="shared" si="3"/>
        <v>0</v>
      </c>
      <c r="J87" s="11">
        <f t="shared" si="4"/>
        <v>399.35500000000008</v>
      </c>
      <c r="K87" s="11">
        <f t="shared" si="5"/>
        <v>0</v>
      </c>
      <c r="L87" s="11">
        <f t="shared" si="6"/>
        <v>332.31000000000006</v>
      </c>
      <c r="M87" s="11">
        <f t="shared" si="7"/>
        <v>0</v>
      </c>
      <c r="N87" s="11">
        <f t="shared" si="8"/>
        <v>297.33000000000004</v>
      </c>
      <c r="O87" s="11">
        <f t="shared" si="9"/>
        <v>0</v>
      </c>
      <c r="P87" s="11">
        <f t="shared" si="10"/>
        <v>269.63750000000005</v>
      </c>
      <c r="Q87" s="11">
        <f t="shared" si="11"/>
        <v>0</v>
      </c>
      <c r="R87" s="531"/>
      <c r="S87" s="415"/>
    </row>
    <row r="88" spans="1:19" s="180" customFormat="1" ht="13.5" thickBot="1">
      <c r="A88" s="1320"/>
      <c r="B88" s="416"/>
      <c r="C88" s="417" t="s">
        <v>1167</v>
      </c>
      <c r="D88" s="418" t="s">
        <v>1168</v>
      </c>
      <c r="E88" s="889">
        <v>24604.13</v>
      </c>
      <c r="F88" s="8">
        <f t="shared" si="0"/>
        <v>13532.271500000003</v>
      </c>
      <c r="G88" s="10">
        <f t="shared" si="1"/>
        <v>0</v>
      </c>
      <c r="H88" s="11">
        <f t="shared" si="2"/>
        <v>424.50735695500009</v>
      </c>
      <c r="I88" s="11">
        <f t="shared" si="3"/>
        <v>0</v>
      </c>
      <c r="J88" s="11">
        <f t="shared" si="4"/>
        <v>370.78423910000009</v>
      </c>
      <c r="K88" s="11">
        <f t="shared" si="5"/>
        <v>0</v>
      </c>
      <c r="L88" s="11">
        <f t="shared" si="6"/>
        <v>308.53579020000006</v>
      </c>
      <c r="M88" s="11">
        <f t="shared" si="7"/>
        <v>0</v>
      </c>
      <c r="N88" s="11">
        <f t="shared" si="8"/>
        <v>276.05833860000007</v>
      </c>
      <c r="O88" s="11">
        <f t="shared" si="9"/>
        <v>0</v>
      </c>
      <c r="P88" s="11">
        <f t="shared" si="10"/>
        <v>250.34702275000004</v>
      </c>
      <c r="Q88" s="11">
        <f t="shared" si="11"/>
        <v>0</v>
      </c>
      <c r="R88" s="531"/>
      <c r="S88" s="415"/>
    </row>
    <row r="89" spans="1:19" s="180" customFormat="1" ht="13.5" thickBot="1">
      <c r="A89" s="1320"/>
      <c r="B89" s="416"/>
      <c r="C89" s="419">
        <v>7723000</v>
      </c>
      <c r="D89" s="420" t="s">
        <v>1131</v>
      </c>
      <c r="E89" s="889">
        <v>50817.919999999998</v>
      </c>
      <c r="F89" s="8">
        <f t="shared" si="0"/>
        <v>27949.856</v>
      </c>
      <c r="G89" s="10">
        <f t="shared" si="1"/>
        <v>0</v>
      </c>
      <c r="H89" s="11">
        <f t="shared" si="2"/>
        <v>876.78698272000008</v>
      </c>
      <c r="I89" s="11">
        <f t="shared" si="3"/>
        <v>0</v>
      </c>
      <c r="J89" s="11">
        <f t="shared" si="4"/>
        <v>765.82605439999998</v>
      </c>
      <c r="K89" s="11">
        <f t="shared" si="5"/>
        <v>0</v>
      </c>
      <c r="L89" s="11">
        <f t="shared" si="6"/>
        <v>637.25671680000005</v>
      </c>
      <c r="M89" s="11">
        <f t="shared" si="7"/>
        <v>0</v>
      </c>
      <c r="N89" s="11">
        <f t="shared" si="8"/>
        <v>570.17706240000007</v>
      </c>
      <c r="O89" s="11">
        <f t="shared" si="9"/>
        <v>0</v>
      </c>
      <c r="P89" s="11">
        <f t="shared" si="10"/>
        <v>517.07233599999995</v>
      </c>
      <c r="Q89" s="11">
        <f t="shared" si="11"/>
        <v>0</v>
      </c>
      <c r="R89" s="531"/>
      <c r="S89" s="415"/>
    </row>
    <row r="90" spans="1:19" s="180" customFormat="1" ht="13.5" thickBot="1">
      <c r="A90" s="1320"/>
      <c r="B90" s="416"/>
      <c r="C90" s="419" t="s">
        <v>1148</v>
      </c>
      <c r="D90" s="420" t="s">
        <v>1149</v>
      </c>
      <c r="E90" s="889">
        <v>14005.99</v>
      </c>
      <c r="F90" s="8">
        <f t="shared" si="0"/>
        <v>7703.2945000000009</v>
      </c>
      <c r="G90" s="10">
        <f t="shared" si="1"/>
        <v>0</v>
      </c>
      <c r="H90" s="11">
        <f t="shared" si="2"/>
        <v>241.65234846500005</v>
      </c>
      <c r="I90" s="11">
        <f t="shared" si="3"/>
        <v>0</v>
      </c>
      <c r="J90" s="11">
        <f t="shared" si="4"/>
        <v>211.07026930000004</v>
      </c>
      <c r="K90" s="11">
        <f t="shared" si="5"/>
        <v>0</v>
      </c>
      <c r="L90" s="11">
        <f t="shared" si="6"/>
        <v>175.63511460000004</v>
      </c>
      <c r="M90" s="11">
        <f t="shared" si="7"/>
        <v>0</v>
      </c>
      <c r="N90" s="11">
        <f t="shared" si="8"/>
        <v>157.14720780000002</v>
      </c>
      <c r="O90" s="11">
        <f t="shared" si="9"/>
        <v>0</v>
      </c>
      <c r="P90" s="11">
        <f t="shared" si="10"/>
        <v>142.51094825000001</v>
      </c>
      <c r="Q90" s="11">
        <f t="shared" si="11"/>
        <v>0</v>
      </c>
      <c r="R90" s="531"/>
      <c r="S90" s="415"/>
    </row>
    <row r="91" spans="1:19" s="180" customFormat="1" ht="13.5" thickBot="1">
      <c r="A91" s="1320"/>
      <c r="B91" s="416"/>
      <c r="C91" s="419" t="s">
        <v>1301</v>
      </c>
      <c r="D91" s="420" t="s">
        <v>1302</v>
      </c>
      <c r="E91" s="889">
        <v>1765.76</v>
      </c>
      <c r="F91" s="8">
        <f t="shared" si="0"/>
        <v>971.16800000000012</v>
      </c>
      <c r="G91" s="10">
        <f t="shared" si="1"/>
        <v>0</v>
      </c>
      <c r="H91" s="11">
        <f t="shared" si="2"/>
        <v>30.465540160000007</v>
      </c>
      <c r="I91" s="11">
        <f t="shared" si="3"/>
        <v>0</v>
      </c>
      <c r="J91" s="11">
        <f t="shared" si="4"/>
        <v>26.610003200000005</v>
      </c>
      <c r="K91" s="11">
        <f t="shared" si="5"/>
        <v>0</v>
      </c>
      <c r="L91" s="11">
        <f t="shared" si="6"/>
        <v>22.142630400000005</v>
      </c>
      <c r="M91" s="11">
        <f t="shared" si="7"/>
        <v>0</v>
      </c>
      <c r="N91" s="11">
        <f t="shared" si="8"/>
        <v>19.811827200000003</v>
      </c>
      <c r="O91" s="11">
        <f t="shared" si="9"/>
        <v>0</v>
      </c>
      <c r="P91" s="11">
        <f t="shared" si="10"/>
        <v>17.966608000000001</v>
      </c>
      <c r="Q91" s="11">
        <f t="shared" si="11"/>
        <v>0</v>
      </c>
      <c r="R91" s="531"/>
      <c r="S91" s="415"/>
    </row>
    <row r="92" spans="1:19" s="180" customFormat="1" ht="13.5" thickBot="1">
      <c r="A92" s="1320"/>
      <c r="B92" s="416"/>
      <c r="C92" s="417" t="s">
        <v>1303</v>
      </c>
      <c r="D92" s="418" t="s">
        <v>1304</v>
      </c>
      <c r="E92" s="889">
        <v>2795.19</v>
      </c>
      <c r="F92" s="8">
        <f t="shared" si="0"/>
        <v>1537.3545000000001</v>
      </c>
      <c r="G92" s="10">
        <f t="shared" si="1"/>
        <v>0</v>
      </c>
      <c r="H92" s="11">
        <f t="shared" si="2"/>
        <v>48.226810665000009</v>
      </c>
      <c r="I92" s="11">
        <f t="shared" si="3"/>
        <v>0</v>
      </c>
      <c r="J92" s="11">
        <f t="shared" si="4"/>
        <v>42.123513300000006</v>
      </c>
      <c r="K92" s="11">
        <f t="shared" si="5"/>
        <v>0</v>
      </c>
      <c r="L92" s="11">
        <f t="shared" si="6"/>
        <v>35.051682600000007</v>
      </c>
      <c r="M92" s="11">
        <f t="shared" si="7"/>
        <v>0</v>
      </c>
      <c r="N92" s="11">
        <f t="shared" si="8"/>
        <v>31.362031800000004</v>
      </c>
      <c r="O92" s="11">
        <f t="shared" si="9"/>
        <v>0</v>
      </c>
      <c r="P92" s="11">
        <f t="shared" si="10"/>
        <v>28.441058250000001</v>
      </c>
      <c r="Q92" s="11">
        <f t="shared" si="11"/>
        <v>0</v>
      </c>
      <c r="R92" s="531"/>
      <c r="S92" s="415"/>
    </row>
    <row r="93" spans="1:19" s="180" customFormat="1" ht="13.5" thickBot="1">
      <c r="A93" s="1320"/>
      <c r="B93" s="416"/>
      <c r="C93" s="419" t="s">
        <v>1209</v>
      </c>
      <c r="D93" s="420" t="s">
        <v>1210</v>
      </c>
      <c r="E93" s="889">
        <v>3082.28</v>
      </c>
      <c r="F93" s="8">
        <f t="shared" si="0"/>
        <v>1695.2540000000004</v>
      </c>
      <c r="G93" s="10">
        <f t="shared" si="1"/>
        <v>0</v>
      </c>
      <c r="H93" s="11">
        <f t="shared" si="2"/>
        <v>53.180117980000013</v>
      </c>
      <c r="I93" s="11">
        <f t="shared" si="3"/>
        <v>0</v>
      </c>
      <c r="J93" s="11">
        <f t="shared" si="4"/>
        <v>46.449959600000014</v>
      </c>
      <c r="K93" s="11">
        <f t="shared" si="5"/>
        <v>0</v>
      </c>
      <c r="L93" s="11">
        <f t="shared" si="6"/>
        <v>38.651791200000012</v>
      </c>
      <c r="M93" s="11">
        <f t="shared" si="7"/>
        <v>0</v>
      </c>
      <c r="N93" s="11">
        <f t="shared" si="8"/>
        <v>34.58318160000001</v>
      </c>
      <c r="O93" s="11">
        <f t="shared" si="9"/>
        <v>0</v>
      </c>
      <c r="P93" s="11">
        <f t="shared" si="10"/>
        <v>31.362199000000004</v>
      </c>
      <c r="Q93" s="11">
        <f t="shared" si="11"/>
        <v>0</v>
      </c>
      <c r="R93" s="531"/>
      <c r="S93" s="415"/>
    </row>
    <row r="94" spans="1:19" s="180" customFormat="1" ht="13.5" thickBot="1">
      <c r="A94" s="1320"/>
      <c r="B94" s="416"/>
      <c r="C94" s="419" t="s">
        <v>1305</v>
      </c>
      <c r="D94" s="420" t="s">
        <v>1306</v>
      </c>
      <c r="E94" s="889">
        <v>330.33</v>
      </c>
      <c r="F94" s="8">
        <f t="shared" ref="F94:F103" si="12">E94*(1-45%)</f>
        <v>181.6815</v>
      </c>
      <c r="G94" s="10">
        <f t="shared" ref="G94:G103" si="13">F94*B94</f>
        <v>0</v>
      </c>
      <c r="H94" s="11">
        <f t="shared" ref="H94:H155" si="14">F94*0.03137</f>
        <v>5.6993486550000005</v>
      </c>
      <c r="I94" s="11">
        <f t="shared" ref="I94:I155" si="15">H94*B94</f>
        <v>0</v>
      </c>
      <c r="J94" s="11">
        <f t="shared" ref="J94:J139" si="16">F94*0.0274</f>
        <v>4.9780731000000005</v>
      </c>
      <c r="K94" s="11">
        <f t="shared" ref="K94:K155" si="17">J94*B94</f>
        <v>0</v>
      </c>
      <c r="L94" s="11">
        <f t="shared" ref="L94:L142" si="18">F94*0.0228</f>
        <v>4.1423382000000002</v>
      </c>
      <c r="M94" s="11">
        <f t="shared" ref="M94:M155" si="19">L94*B94</f>
        <v>0</v>
      </c>
      <c r="N94" s="11">
        <f t="shared" ref="N94:N155" si="20">F94*0.0204</f>
        <v>3.7063026000000003</v>
      </c>
      <c r="O94" s="11">
        <f t="shared" ref="O94:O155" si="21">N94*B94</f>
        <v>0</v>
      </c>
      <c r="P94" s="11">
        <f t="shared" ref="P94:P155" si="22">F94*0.0185</f>
        <v>3.3611077499999999</v>
      </c>
      <c r="Q94" s="11">
        <f t="shared" ref="Q94:Q155" si="23">P94*B94</f>
        <v>0</v>
      </c>
      <c r="R94" s="531"/>
      <c r="S94" s="415"/>
    </row>
    <row r="95" spans="1:19" s="180" customFormat="1" ht="13.5" thickBot="1">
      <c r="A95" s="1320"/>
      <c r="B95" s="416"/>
      <c r="C95" s="419" t="s">
        <v>1307</v>
      </c>
      <c r="D95" s="420" t="s">
        <v>1308</v>
      </c>
      <c r="E95" s="889">
        <v>2347.15</v>
      </c>
      <c r="F95" s="8">
        <f t="shared" si="12"/>
        <v>1290.9325000000001</v>
      </c>
      <c r="G95" s="10">
        <f t="shared" si="13"/>
        <v>0</v>
      </c>
      <c r="H95" s="11">
        <f t="shared" si="14"/>
        <v>40.496552525000006</v>
      </c>
      <c r="I95" s="11">
        <f t="shared" si="15"/>
        <v>0</v>
      </c>
      <c r="J95" s="11">
        <f t="shared" si="16"/>
        <v>35.371550500000005</v>
      </c>
      <c r="K95" s="11">
        <f t="shared" si="17"/>
        <v>0</v>
      </c>
      <c r="L95" s="11">
        <f t="shared" si="18"/>
        <v>29.433261000000005</v>
      </c>
      <c r="M95" s="11">
        <f t="shared" si="19"/>
        <v>0</v>
      </c>
      <c r="N95" s="11">
        <f t="shared" si="20"/>
        <v>26.335023000000003</v>
      </c>
      <c r="O95" s="11">
        <f t="shared" si="21"/>
        <v>0</v>
      </c>
      <c r="P95" s="11">
        <f t="shared" si="22"/>
        <v>23.882251249999999</v>
      </c>
      <c r="Q95" s="11">
        <f t="shared" si="23"/>
        <v>0</v>
      </c>
      <c r="R95" s="531"/>
      <c r="S95" s="415"/>
    </row>
    <row r="96" spans="1:19" s="180" customFormat="1" ht="13.5" thickBot="1">
      <c r="A96" s="1320"/>
      <c r="B96" s="416"/>
      <c r="C96" s="502" t="s">
        <v>1211</v>
      </c>
      <c r="D96" s="418" t="s">
        <v>1212</v>
      </c>
      <c r="E96" s="889">
        <v>5200</v>
      </c>
      <c r="F96" s="8">
        <f t="shared" si="12"/>
        <v>2860.0000000000005</v>
      </c>
      <c r="G96" s="10">
        <f t="shared" si="13"/>
        <v>0</v>
      </c>
      <c r="H96" s="11">
        <f t="shared" si="14"/>
        <v>89.718200000000024</v>
      </c>
      <c r="I96" s="11">
        <f t="shared" si="15"/>
        <v>0</v>
      </c>
      <c r="J96" s="11">
        <f t="shared" si="16"/>
        <v>78.364000000000019</v>
      </c>
      <c r="K96" s="11">
        <f t="shared" si="17"/>
        <v>0</v>
      </c>
      <c r="L96" s="11">
        <f t="shared" si="18"/>
        <v>65.208000000000013</v>
      </c>
      <c r="M96" s="11">
        <f t="shared" si="19"/>
        <v>0</v>
      </c>
      <c r="N96" s="11">
        <f t="shared" si="20"/>
        <v>58.344000000000015</v>
      </c>
      <c r="O96" s="11">
        <f t="shared" si="21"/>
        <v>0</v>
      </c>
      <c r="P96" s="11">
        <f t="shared" si="22"/>
        <v>52.910000000000004</v>
      </c>
      <c r="Q96" s="11">
        <f t="shared" si="23"/>
        <v>0</v>
      </c>
      <c r="R96" s="531"/>
      <c r="S96" s="415"/>
    </row>
    <row r="97" spans="1:19" s="180" customFormat="1" ht="13.5" thickBot="1">
      <c r="A97" s="1320"/>
      <c r="B97" s="416"/>
      <c r="C97" s="419" t="s">
        <v>1213</v>
      </c>
      <c r="D97" s="420" t="s">
        <v>1214</v>
      </c>
      <c r="E97" s="889">
        <v>5200</v>
      </c>
      <c r="F97" s="8">
        <f t="shared" si="12"/>
        <v>2860.0000000000005</v>
      </c>
      <c r="G97" s="10">
        <f t="shared" si="13"/>
        <v>0</v>
      </c>
      <c r="H97" s="11">
        <f t="shared" si="14"/>
        <v>89.718200000000024</v>
      </c>
      <c r="I97" s="11">
        <f t="shared" si="15"/>
        <v>0</v>
      </c>
      <c r="J97" s="11">
        <f t="shared" si="16"/>
        <v>78.364000000000019</v>
      </c>
      <c r="K97" s="11">
        <f t="shared" si="17"/>
        <v>0</v>
      </c>
      <c r="L97" s="11">
        <f t="shared" si="18"/>
        <v>65.208000000000013</v>
      </c>
      <c r="M97" s="11">
        <f t="shared" si="19"/>
        <v>0</v>
      </c>
      <c r="N97" s="11">
        <f t="shared" si="20"/>
        <v>58.344000000000015</v>
      </c>
      <c r="O97" s="11">
        <f t="shared" si="21"/>
        <v>0</v>
      </c>
      <c r="P97" s="11">
        <f t="shared" si="22"/>
        <v>52.910000000000004</v>
      </c>
      <c r="Q97" s="11">
        <f t="shared" si="23"/>
        <v>0</v>
      </c>
      <c r="R97" s="531"/>
      <c r="S97" s="415"/>
    </row>
    <row r="98" spans="1:19" s="180" customFormat="1" ht="13.5" thickBot="1">
      <c r="A98" s="1320"/>
      <c r="B98" s="416"/>
      <c r="C98" s="417" t="s">
        <v>1368</v>
      </c>
      <c r="D98" s="418" t="s">
        <v>4009</v>
      </c>
      <c r="E98" s="889">
        <v>5200</v>
      </c>
      <c r="F98" s="8">
        <f t="shared" si="12"/>
        <v>2860.0000000000005</v>
      </c>
      <c r="G98" s="10">
        <f t="shared" si="13"/>
        <v>0</v>
      </c>
      <c r="H98" s="11">
        <f t="shared" si="14"/>
        <v>89.718200000000024</v>
      </c>
      <c r="I98" s="11">
        <f t="shared" si="15"/>
        <v>0</v>
      </c>
      <c r="J98" s="11">
        <f t="shared" si="16"/>
        <v>78.364000000000019</v>
      </c>
      <c r="K98" s="11">
        <f t="shared" si="17"/>
        <v>0</v>
      </c>
      <c r="L98" s="11">
        <f t="shared" si="18"/>
        <v>65.208000000000013</v>
      </c>
      <c r="M98" s="11">
        <f t="shared" si="19"/>
        <v>0</v>
      </c>
      <c r="N98" s="11">
        <f t="shared" si="20"/>
        <v>58.344000000000015</v>
      </c>
      <c r="O98" s="11">
        <f t="shared" si="21"/>
        <v>0</v>
      </c>
      <c r="P98" s="11">
        <f t="shared" si="22"/>
        <v>52.910000000000004</v>
      </c>
      <c r="Q98" s="11">
        <f t="shared" si="23"/>
        <v>0</v>
      </c>
      <c r="R98" s="531"/>
      <c r="S98" s="415"/>
    </row>
    <row r="99" spans="1:19" s="180" customFormat="1" ht="13.5" thickBot="1">
      <c r="A99" s="1320"/>
      <c r="B99" s="416"/>
      <c r="C99" s="419" t="s">
        <v>1215</v>
      </c>
      <c r="D99" s="420" t="s">
        <v>1216</v>
      </c>
      <c r="E99" s="889">
        <v>9995</v>
      </c>
      <c r="F99" s="8">
        <f t="shared" si="12"/>
        <v>5497.25</v>
      </c>
      <c r="G99" s="10">
        <f t="shared" si="13"/>
        <v>0</v>
      </c>
      <c r="H99" s="11">
        <f t="shared" si="14"/>
        <v>172.44873250000001</v>
      </c>
      <c r="I99" s="11">
        <f t="shared" si="15"/>
        <v>0</v>
      </c>
      <c r="J99" s="11">
        <f t="shared" si="16"/>
        <v>150.62465</v>
      </c>
      <c r="K99" s="11">
        <f t="shared" si="17"/>
        <v>0</v>
      </c>
      <c r="L99" s="11">
        <f t="shared" si="18"/>
        <v>125.3373</v>
      </c>
      <c r="M99" s="11">
        <f t="shared" si="19"/>
        <v>0</v>
      </c>
      <c r="N99" s="11">
        <f t="shared" si="20"/>
        <v>112.1439</v>
      </c>
      <c r="O99" s="11">
        <f t="shared" si="21"/>
        <v>0</v>
      </c>
      <c r="P99" s="11">
        <f t="shared" si="22"/>
        <v>101.699125</v>
      </c>
      <c r="Q99" s="11">
        <f t="shared" si="23"/>
        <v>0</v>
      </c>
      <c r="R99" s="531"/>
      <c r="S99" s="415"/>
    </row>
    <row r="100" spans="1:19" s="180" customFormat="1" ht="13.5" thickBot="1">
      <c r="A100" s="1320"/>
      <c r="B100" s="416"/>
      <c r="C100" s="417" t="s">
        <v>4010</v>
      </c>
      <c r="D100" s="418" t="s">
        <v>4011</v>
      </c>
      <c r="E100" s="889">
        <v>25370</v>
      </c>
      <c r="F100" s="8">
        <f t="shared" si="12"/>
        <v>13953.500000000002</v>
      </c>
      <c r="G100" s="10">
        <f t="shared" si="13"/>
        <v>0</v>
      </c>
      <c r="H100" s="11">
        <f t="shared" si="14"/>
        <v>437.72129500000011</v>
      </c>
      <c r="I100" s="11">
        <f t="shared" si="15"/>
        <v>0</v>
      </c>
      <c r="J100" s="11">
        <f t="shared" si="16"/>
        <v>382.32590000000005</v>
      </c>
      <c r="K100" s="11">
        <f t="shared" si="17"/>
        <v>0</v>
      </c>
      <c r="L100" s="11">
        <f t="shared" si="18"/>
        <v>318.13980000000004</v>
      </c>
      <c r="M100" s="11">
        <f t="shared" si="19"/>
        <v>0</v>
      </c>
      <c r="N100" s="11">
        <f t="shared" si="20"/>
        <v>284.65140000000008</v>
      </c>
      <c r="O100" s="11">
        <f t="shared" si="21"/>
        <v>0</v>
      </c>
      <c r="P100" s="11">
        <f t="shared" si="22"/>
        <v>258.13975000000005</v>
      </c>
      <c r="Q100" s="11">
        <f t="shared" si="23"/>
        <v>0</v>
      </c>
      <c r="R100" s="531"/>
      <c r="S100" s="415"/>
    </row>
    <row r="101" spans="1:19" s="180" customFormat="1" ht="13.5" thickBot="1">
      <c r="A101" s="1320"/>
      <c r="B101" s="416"/>
      <c r="C101" s="419" t="s">
        <v>4012</v>
      </c>
      <c r="D101" s="420" t="s">
        <v>4013</v>
      </c>
      <c r="E101" s="889">
        <v>35218.26</v>
      </c>
      <c r="F101" s="8">
        <f t="shared" si="12"/>
        <v>19370.043000000001</v>
      </c>
      <c r="G101" s="10">
        <f t="shared" si="13"/>
        <v>0</v>
      </c>
      <c r="H101" s="11">
        <f t="shared" si="14"/>
        <v>607.63824891000013</v>
      </c>
      <c r="I101" s="11">
        <f t="shared" si="15"/>
        <v>0</v>
      </c>
      <c r="J101" s="11">
        <f t="shared" si="16"/>
        <v>530.73917820000008</v>
      </c>
      <c r="K101" s="11">
        <f t="shared" si="17"/>
        <v>0</v>
      </c>
      <c r="L101" s="11">
        <f t="shared" si="18"/>
        <v>441.63698040000003</v>
      </c>
      <c r="M101" s="11">
        <f t="shared" si="19"/>
        <v>0</v>
      </c>
      <c r="N101" s="11">
        <f t="shared" si="20"/>
        <v>395.14887720000007</v>
      </c>
      <c r="O101" s="11">
        <f t="shared" si="21"/>
        <v>0</v>
      </c>
      <c r="P101" s="11">
        <f t="shared" si="22"/>
        <v>358.34579550000001</v>
      </c>
      <c r="Q101" s="11">
        <f t="shared" si="23"/>
        <v>0</v>
      </c>
      <c r="R101" s="531"/>
      <c r="S101" s="415"/>
    </row>
    <row r="102" spans="1:19" s="180" customFormat="1" ht="13.5" thickBot="1">
      <c r="A102" s="1320"/>
      <c r="B102" s="416"/>
      <c r="C102" s="419" t="s">
        <v>4014</v>
      </c>
      <c r="D102" s="420" t="s">
        <v>4015</v>
      </c>
      <c r="E102" s="889">
        <v>1103.6099999999999</v>
      </c>
      <c r="F102" s="8">
        <f t="shared" si="12"/>
        <v>606.9855</v>
      </c>
      <c r="G102" s="10">
        <f t="shared" si="13"/>
        <v>0</v>
      </c>
      <c r="H102" s="11">
        <f t="shared" si="14"/>
        <v>19.041135135000001</v>
      </c>
      <c r="I102" s="11">
        <f t="shared" si="15"/>
        <v>0</v>
      </c>
      <c r="J102" s="11">
        <f t="shared" si="16"/>
        <v>16.631402699999999</v>
      </c>
      <c r="K102" s="11">
        <f t="shared" si="17"/>
        <v>0</v>
      </c>
      <c r="L102" s="11">
        <f t="shared" si="18"/>
        <v>13.839269400000001</v>
      </c>
      <c r="M102" s="11">
        <f t="shared" si="19"/>
        <v>0</v>
      </c>
      <c r="N102" s="11">
        <f t="shared" si="20"/>
        <v>12.382504200000001</v>
      </c>
      <c r="O102" s="11">
        <f t="shared" si="21"/>
        <v>0</v>
      </c>
      <c r="P102" s="11">
        <f t="shared" si="22"/>
        <v>11.22923175</v>
      </c>
      <c r="Q102" s="11">
        <f t="shared" si="23"/>
        <v>0</v>
      </c>
      <c r="R102" s="531"/>
      <c r="S102" s="415"/>
    </row>
    <row r="103" spans="1:19" s="180" customFormat="1" ht="13.5" thickBot="1">
      <c r="A103" s="1320"/>
      <c r="B103" s="416"/>
      <c r="C103" s="419" t="s">
        <v>3988</v>
      </c>
      <c r="D103" s="420" t="s">
        <v>1309</v>
      </c>
      <c r="E103" s="889">
        <v>10395</v>
      </c>
      <c r="F103" s="8">
        <f t="shared" si="12"/>
        <v>5717.2500000000009</v>
      </c>
      <c r="G103" s="10">
        <f t="shared" si="13"/>
        <v>0</v>
      </c>
      <c r="H103" s="11">
        <f t="shared" si="14"/>
        <v>179.35013250000003</v>
      </c>
      <c r="I103" s="11">
        <f t="shared" si="15"/>
        <v>0</v>
      </c>
      <c r="J103" s="11">
        <f t="shared" si="16"/>
        <v>156.65265000000002</v>
      </c>
      <c r="K103" s="11">
        <f t="shared" si="17"/>
        <v>0</v>
      </c>
      <c r="L103" s="11">
        <f t="shared" si="18"/>
        <v>130.35330000000002</v>
      </c>
      <c r="M103" s="11">
        <f t="shared" si="19"/>
        <v>0</v>
      </c>
      <c r="N103" s="11">
        <f t="shared" si="20"/>
        <v>116.63190000000003</v>
      </c>
      <c r="O103" s="11">
        <f t="shared" si="21"/>
        <v>0</v>
      </c>
      <c r="P103" s="11">
        <f t="shared" si="22"/>
        <v>105.76912500000002</v>
      </c>
      <c r="Q103" s="11">
        <f t="shared" si="23"/>
        <v>0</v>
      </c>
      <c r="R103" s="531"/>
      <c r="S103" s="415"/>
    </row>
    <row r="104" spans="1:19" s="180" customFormat="1" ht="13.5" thickBot="1">
      <c r="A104" s="1320"/>
      <c r="B104" s="416"/>
      <c r="C104" s="419" t="s">
        <v>1346</v>
      </c>
      <c r="D104" s="420" t="s">
        <v>4097</v>
      </c>
      <c r="E104" s="889">
        <v>7969.5</v>
      </c>
      <c r="F104" s="8">
        <v>741.40000000000009</v>
      </c>
      <c r="G104" s="10">
        <v>0</v>
      </c>
      <c r="H104" s="11">
        <f t="shared" si="14"/>
        <v>23.257718000000004</v>
      </c>
      <c r="I104" s="11">
        <f t="shared" si="15"/>
        <v>0</v>
      </c>
      <c r="J104" s="11">
        <f t="shared" si="16"/>
        <v>20.314360000000004</v>
      </c>
      <c r="K104" s="11">
        <f t="shared" si="17"/>
        <v>0</v>
      </c>
      <c r="L104" s="11">
        <f t="shared" si="18"/>
        <v>16.903920000000003</v>
      </c>
      <c r="M104" s="11">
        <f t="shared" si="19"/>
        <v>0</v>
      </c>
      <c r="N104" s="11">
        <f t="shared" si="20"/>
        <v>15.124560000000002</v>
      </c>
      <c r="O104" s="11">
        <f t="shared" si="21"/>
        <v>0</v>
      </c>
      <c r="P104" s="11">
        <f t="shared" si="22"/>
        <v>13.715900000000001</v>
      </c>
      <c r="Q104" s="11">
        <f t="shared" si="23"/>
        <v>0</v>
      </c>
      <c r="R104" s="531"/>
      <c r="S104" s="415"/>
    </row>
    <row r="105" spans="1:19" s="180" customFormat="1" ht="13.5" thickBot="1">
      <c r="A105" s="1320"/>
      <c r="B105" s="416"/>
      <c r="C105" s="419" t="s">
        <v>1311</v>
      </c>
      <c r="D105" s="420" t="s">
        <v>1154</v>
      </c>
      <c r="E105" s="889">
        <v>2061.2600000000002</v>
      </c>
      <c r="F105" s="8">
        <f t="shared" ref="F105:F163" si="24">E105*(1-45%)</f>
        <v>1133.6930000000002</v>
      </c>
      <c r="G105" s="10">
        <f t="shared" ref="G105:G163" si="25">F105*B105</f>
        <v>0</v>
      </c>
      <c r="H105" s="11">
        <f t="shared" si="14"/>
        <v>35.563949410000006</v>
      </c>
      <c r="I105" s="11">
        <f t="shared" si="15"/>
        <v>0</v>
      </c>
      <c r="J105" s="11">
        <f t="shared" si="16"/>
        <v>31.063188200000006</v>
      </c>
      <c r="K105" s="11">
        <f t="shared" si="17"/>
        <v>0</v>
      </c>
      <c r="L105" s="11">
        <f t="shared" si="18"/>
        <v>25.848200400000007</v>
      </c>
      <c r="M105" s="11">
        <f t="shared" si="19"/>
        <v>0</v>
      </c>
      <c r="N105" s="11">
        <f t="shared" si="20"/>
        <v>23.127337200000007</v>
      </c>
      <c r="O105" s="11">
        <f t="shared" si="21"/>
        <v>0</v>
      </c>
      <c r="P105" s="11">
        <f t="shared" si="22"/>
        <v>20.973320500000003</v>
      </c>
      <c r="Q105" s="11">
        <f t="shared" si="23"/>
        <v>0</v>
      </c>
      <c r="R105" s="531"/>
      <c r="S105" s="415"/>
    </row>
    <row r="106" spans="1:19" s="180" customFormat="1" ht="13.5" thickBot="1">
      <c r="A106" s="1320"/>
      <c r="B106" s="416"/>
      <c r="C106" s="419" t="s">
        <v>1219</v>
      </c>
      <c r="D106" s="420" t="s">
        <v>1220</v>
      </c>
      <c r="E106" s="889">
        <v>23783.759999999998</v>
      </c>
      <c r="F106" s="8">
        <f t="shared" si="24"/>
        <v>13081.067999999999</v>
      </c>
      <c r="G106" s="10">
        <f t="shared" si="25"/>
        <v>0</v>
      </c>
      <c r="H106" s="11">
        <f t="shared" si="14"/>
        <v>410.35310315999999</v>
      </c>
      <c r="I106" s="11">
        <f t="shared" si="15"/>
        <v>0</v>
      </c>
      <c r="J106" s="11">
        <f t="shared" si="16"/>
        <v>358.4212632</v>
      </c>
      <c r="K106" s="11">
        <f t="shared" si="17"/>
        <v>0</v>
      </c>
      <c r="L106" s="11">
        <f t="shared" si="18"/>
        <v>298.24835039999999</v>
      </c>
      <c r="M106" s="11">
        <f t="shared" si="19"/>
        <v>0</v>
      </c>
      <c r="N106" s="11">
        <f t="shared" si="20"/>
        <v>266.8537872</v>
      </c>
      <c r="O106" s="11">
        <f t="shared" si="21"/>
        <v>0</v>
      </c>
      <c r="P106" s="11">
        <f t="shared" si="22"/>
        <v>241.99975799999999</v>
      </c>
      <c r="Q106" s="11">
        <f t="shared" si="23"/>
        <v>0</v>
      </c>
      <c r="R106" s="531"/>
      <c r="S106" s="415"/>
    </row>
    <row r="107" spans="1:19" s="180" customFormat="1" ht="13.5" thickBot="1">
      <c r="A107" s="1320"/>
      <c r="B107" s="416"/>
      <c r="C107" s="419" t="s">
        <v>1221</v>
      </c>
      <c r="D107" s="420" t="s">
        <v>1222</v>
      </c>
      <c r="E107" s="889">
        <v>1479.88</v>
      </c>
      <c r="F107" s="8">
        <f t="shared" si="24"/>
        <v>813.93400000000008</v>
      </c>
      <c r="G107" s="10">
        <f t="shared" si="25"/>
        <v>0</v>
      </c>
      <c r="H107" s="11">
        <f t="shared" si="14"/>
        <v>25.533109580000005</v>
      </c>
      <c r="I107" s="11">
        <f t="shared" si="15"/>
        <v>0</v>
      </c>
      <c r="J107" s="11">
        <f t="shared" si="16"/>
        <v>22.301791600000001</v>
      </c>
      <c r="K107" s="11">
        <f t="shared" si="17"/>
        <v>0</v>
      </c>
      <c r="L107" s="11">
        <f t="shared" si="18"/>
        <v>18.557695200000001</v>
      </c>
      <c r="M107" s="11">
        <f t="shared" si="19"/>
        <v>0</v>
      </c>
      <c r="N107" s="11">
        <f t="shared" si="20"/>
        <v>16.604253600000003</v>
      </c>
      <c r="O107" s="11">
        <f t="shared" si="21"/>
        <v>0</v>
      </c>
      <c r="P107" s="11">
        <f t="shared" si="22"/>
        <v>15.057779</v>
      </c>
      <c r="Q107" s="11">
        <f t="shared" si="23"/>
        <v>0</v>
      </c>
      <c r="R107" s="531"/>
      <c r="S107" s="415"/>
    </row>
    <row r="108" spans="1:19" s="180" customFormat="1" ht="13.5" thickBot="1">
      <c r="A108" s="1320"/>
      <c r="B108" s="416"/>
      <c r="C108" s="419" t="s">
        <v>3992</v>
      </c>
      <c r="D108" s="420" t="s">
        <v>3993</v>
      </c>
      <c r="E108" s="889">
        <v>1100</v>
      </c>
      <c r="F108" s="8">
        <f t="shared" si="24"/>
        <v>605</v>
      </c>
      <c r="G108" s="10">
        <f t="shared" si="25"/>
        <v>0</v>
      </c>
      <c r="H108" s="11">
        <f t="shared" si="14"/>
        <v>18.978850000000001</v>
      </c>
      <c r="I108" s="11">
        <f t="shared" si="15"/>
        <v>0</v>
      </c>
      <c r="J108" s="11">
        <f t="shared" si="16"/>
        <v>16.577000000000002</v>
      </c>
      <c r="K108" s="11">
        <f t="shared" si="17"/>
        <v>0</v>
      </c>
      <c r="L108" s="11">
        <f t="shared" si="18"/>
        <v>13.794</v>
      </c>
      <c r="M108" s="11">
        <f t="shared" si="19"/>
        <v>0</v>
      </c>
      <c r="N108" s="11">
        <f t="shared" si="20"/>
        <v>12.342000000000001</v>
      </c>
      <c r="O108" s="11">
        <f t="shared" si="21"/>
        <v>0</v>
      </c>
      <c r="P108" s="11">
        <f t="shared" si="22"/>
        <v>11.192499999999999</v>
      </c>
      <c r="Q108" s="11">
        <f t="shared" si="23"/>
        <v>0</v>
      </c>
      <c r="R108" s="531"/>
      <c r="S108" s="415"/>
    </row>
    <row r="109" spans="1:19" s="180" customFormat="1" ht="13.5" thickBot="1">
      <c r="A109" s="1320"/>
      <c r="B109" s="416"/>
      <c r="C109" s="417" t="s">
        <v>3994</v>
      </c>
      <c r="D109" s="952" t="s">
        <v>3995</v>
      </c>
      <c r="E109" s="889">
        <v>1100</v>
      </c>
      <c r="F109" s="8">
        <f t="shared" si="24"/>
        <v>605</v>
      </c>
      <c r="G109" s="10">
        <f t="shared" si="25"/>
        <v>0</v>
      </c>
      <c r="H109" s="11">
        <f t="shared" si="14"/>
        <v>18.978850000000001</v>
      </c>
      <c r="I109" s="11">
        <f t="shared" si="15"/>
        <v>0</v>
      </c>
      <c r="J109" s="11">
        <f t="shared" si="16"/>
        <v>16.577000000000002</v>
      </c>
      <c r="K109" s="11">
        <f t="shared" si="17"/>
        <v>0</v>
      </c>
      <c r="L109" s="11">
        <f t="shared" si="18"/>
        <v>13.794</v>
      </c>
      <c r="M109" s="11">
        <f t="shared" si="19"/>
        <v>0</v>
      </c>
      <c r="N109" s="11">
        <f t="shared" si="20"/>
        <v>12.342000000000001</v>
      </c>
      <c r="O109" s="11">
        <f t="shared" si="21"/>
        <v>0</v>
      </c>
      <c r="P109" s="11">
        <f t="shared" si="22"/>
        <v>11.192499999999999</v>
      </c>
      <c r="Q109" s="11">
        <f t="shared" si="23"/>
        <v>0</v>
      </c>
      <c r="R109" s="531"/>
      <c r="S109" s="415"/>
    </row>
    <row r="110" spans="1:19" s="180" customFormat="1" ht="13.5" thickBot="1">
      <c r="A110" s="1320"/>
      <c r="B110" s="416"/>
      <c r="C110" s="417" t="s">
        <v>3996</v>
      </c>
      <c r="D110" s="418" t="s">
        <v>3997</v>
      </c>
      <c r="E110" s="889">
        <v>550</v>
      </c>
      <c r="F110" s="8">
        <f t="shared" si="24"/>
        <v>302.5</v>
      </c>
      <c r="G110" s="10">
        <f t="shared" si="25"/>
        <v>0</v>
      </c>
      <c r="H110" s="11">
        <f t="shared" si="14"/>
        <v>9.4894250000000007</v>
      </c>
      <c r="I110" s="11">
        <f t="shared" si="15"/>
        <v>0</v>
      </c>
      <c r="J110" s="11">
        <f t="shared" si="16"/>
        <v>8.2885000000000009</v>
      </c>
      <c r="K110" s="11">
        <f t="shared" si="17"/>
        <v>0</v>
      </c>
      <c r="L110" s="11">
        <f t="shared" si="18"/>
        <v>6.8970000000000002</v>
      </c>
      <c r="M110" s="11">
        <f t="shared" si="19"/>
        <v>0</v>
      </c>
      <c r="N110" s="11">
        <f t="shared" si="20"/>
        <v>6.1710000000000003</v>
      </c>
      <c r="O110" s="11">
        <f t="shared" si="21"/>
        <v>0</v>
      </c>
      <c r="P110" s="11">
        <f t="shared" si="22"/>
        <v>5.5962499999999995</v>
      </c>
      <c r="Q110" s="11">
        <f t="shared" si="23"/>
        <v>0</v>
      </c>
      <c r="R110" s="531"/>
      <c r="S110" s="415"/>
    </row>
    <row r="111" spans="1:19" s="180" customFormat="1" ht="13.5" thickBot="1">
      <c r="A111" s="1320"/>
      <c r="B111" s="416"/>
      <c r="C111" s="417" t="s">
        <v>1223</v>
      </c>
      <c r="D111" s="418" t="s">
        <v>1224</v>
      </c>
      <c r="E111" s="889">
        <v>1177.18</v>
      </c>
      <c r="F111" s="8">
        <f t="shared" si="24"/>
        <v>647.44900000000007</v>
      </c>
      <c r="G111" s="10">
        <f t="shared" si="25"/>
        <v>0</v>
      </c>
      <c r="H111" s="11">
        <f t="shared" si="14"/>
        <v>20.310475130000004</v>
      </c>
      <c r="I111" s="11">
        <f t="shared" si="15"/>
        <v>0</v>
      </c>
      <c r="J111" s="11">
        <f t="shared" si="16"/>
        <v>17.740102600000004</v>
      </c>
      <c r="K111" s="11">
        <f t="shared" si="17"/>
        <v>0</v>
      </c>
      <c r="L111" s="11">
        <f t="shared" si="18"/>
        <v>14.761837200000002</v>
      </c>
      <c r="M111" s="11">
        <f t="shared" si="19"/>
        <v>0</v>
      </c>
      <c r="N111" s="11">
        <f t="shared" si="20"/>
        <v>13.207959600000002</v>
      </c>
      <c r="O111" s="11">
        <f t="shared" si="21"/>
        <v>0</v>
      </c>
      <c r="P111" s="11">
        <f t="shared" si="22"/>
        <v>11.9778065</v>
      </c>
      <c r="Q111" s="11">
        <f t="shared" si="23"/>
        <v>0</v>
      </c>
      <c r="R111" s="531"/>
      <c r="S111" s="415"/>
    </row>
    <row r="112" spans="1:19" s="180" customFormat="1" ht="13.5" thickBot="1">
      <c r="A112" s="1320"/>
      <c r="B112" s="416"/>
      <c r="C112" s="417" t="s">
        <v>1225</v>
      </c>
      <c r="D112" s="418" t="s">
        <v>1226</v>
      </c>
      <c r="E112" s="889">
        <v>27684.06</v>
      </c>
      <c r="F112" s="8">
        <f t="shared" si="24"/>
        <v>15226.233000000002</v>
      </c>
      <c r="G112" s="10">
        <f t="shared" si="25"/>
        <v>0</v>
      </c>
      <c r="H112" s="11">
        <f t="shared" si="14"/>
        <v>477.64692921000011</v>
      </c>
      <c r="I112" s="11">
        <f t="shared" si="15"/>
        <v>0</v>
      </c>
      <c r="J112" s="11">
        <f t="shared" si="16"/>
        <v>417.19878420000009</v>
      </c>
      <c r="K112" s="11">
        <f t="shared" si="17"/>
        <v>0</v>
      </c>
      <c r="L112" s="11">
        <f t="shared" si="18"/>
        <v>347.15811240000005</v>
      </c>
      <c r="M112" s="11">
        <f t="shared" si="19"/>
        <v>0</v>
      </c>
      <c r="N112" s="11">
        <f t="shared" si="20"/>
        <v>310.61515320000007</v>
      </c>
      <c r="O112" s="11">
        <f t="shared" si="21"/>
        <v>0</v>
      </c>
      <c r="P112" s="11">
        <f t="shared" si="22"/>
        <v>281.68531050000001</v>
      </c>
      <c r="Q112" s="11">
        <f t="shared" si="23"/>
        <v>0</v>
      </c>
      <c r="R112" s="531"/>
      <c r="S112" s="415"/>
    </row>
    <row r="113" spans="1:19" s="180" customFormat="1" ht="13.5" thickBot="1">
      <c r="A113" s="1320"/>
      <c r="B113" s="416"/>
      <c r="C113" s="417" t="s">
        <v>1313</v>
      </c>
      <c r="D113" s="418" t="s">
        <v>1314</v>
      </c>
      <c r="E113" s="889">
        <v>4706.3</v>
      </c>
      <c r="F113" s="8">
        <f t="shared" si="24"/>
        <v>2588.4650000000001</v>
      </c>
      <c r="G113" s="10">
        <f t="shared" si="25"/>
        <v>0</v>
      </c>
      <c r="H113" s="11">
        <f t="shared" si="14"/>
        <v>81.200147050000012</v>
      </c>
      <c r="I113" s="11">
        <f t="shared" si="15"/>
        <v>0</v>
      </c>
      <c r="J113" s="11">
        <f t="shared" si="16"/>
        <v>70.923940999999999</v>
      </c>
      <c r="K113" s="11">
        <f t="shared" si="17"/>
        <v>0</v>
      </c>
      <c r="L113" s="11">
        <f t="shared" si="18"/>
        <v>59.017002000000005</v>
      </c>
      <c r="M113" s="11">
        <f t="shared" si="19"/>
        <v>0</v>
      </c>
      <c r="N113" s="11">
        <f t="shared" si="20"/>
        <v>52.804686000000004</v>
      </c>
      <c r="O113" s="11">
        <f t="shared" si="21"/>
        <v>0</v>
      </c>
      <c r="P113" s="11">
        <f t="shared" si="22"/>
        <v>47.886602500000002</v>
      </c>
      <c r="Q113" s="11">
        <f t="shared" si="23"/>
        <v>0</v>
      </c>
      <c r="R113" s="531"/>
      <c r="S113" s="415"/>
    </row>
    <row r="114" spans="1:19" s="180" customFormat="1" ht="13.5" thickBot="1">
      <c r="A114" s="1320"/>
      <c r="B114" s="416"/>
      <c r="C114" s="419" t="s">
        <v>1315</v>
      </c>
      <c r="D114" s="420" t="s">
        <v>1316</v>
      </c>
      <c r="E114" s="889">
        <v>7267.26</v>
      </c>
      <c r="F114" s="8">
        <f t="shared" si="24"/>
        <v>3996.9930000000004</v>
      </c>
      <c r="G114" s="10">
        <f t="shared" si="25"/>
        <v>0</v>
      </c>
      <c r="H114" s="11">
        <f t="shared" si="14"/>
        <v>125.38567041000002</v>
      </c>
      <c r="I114" s="11">
        <f t="shared" si="15"/>
        <v>0</v>
      </c>
      <c r="J114" s="11">
        <f t="shared" si="16"/>
        <v>109.51760820000001</v>
      </c>
      <c r="K114" s="11">
        <f t="shared" si="17"/>
        <v>0</v>
      </c>
      <c r="L114" s="11">
        <f t="shared" si="18"/>
        <v>91.131440400000017</v>
      </c>
      <c r="M114" s="11">
        <f t="shared" si="19"/>
        <v>0</v>
      </c>
      <c r="N114" s="11">
        <f t="shared" si="20"/>
        <v>81.538657200000017</v>
      </c>
      <c r="O114" s="11">
        <f t="shared" si="21"/>
        <v>0</v>
      </c>
      <c r="P114" s="11">
        <f t="shared" si="22"/>
        <v>73.944370500000005</v>
      </c>
      <c r="Q114" s="11">
        <f t="shared" si="23"/>
        <v>0</v>
      </c>
      <c r="R114" s="531"/>
      <c r="S114" s="415"/>
    </row>
    <row r="115" spans="1:19" s="180" customFormat="1" ht="13.5" thickBot="1">
      <c r="A115" s="1320"/>
      <c r="B115" s="416"/>
      <c r="C115" s="419" t="s">
        <v>1317</v>
      </c>
      <c r="D115" s="420" t="s">
        <v>1318</v>
      </c>
      <c r="E115" s="889">
        <v>5847.44</v>
      </c>
      <c r="F115" s="8">
        <f t="shared" si="24"/>
        <v>3216.0920000000001</v>
      </c>
      <c r="G115" s="10">
        <f t="shared" si="25"/>
        <v>0</v>
      </c>
      <c r="H115" s="11">
        <f t="shared" si="14"/>
        <v>100.88880604000001</v>
      </c>
      <c r="I115" s="11">
        <f t="shared" si="15"/>
        <v>0</v>
      </c>
      <c r="J115" s="11">
        <f t="shared" si="16"/>
        <v>88.120920800000007</v>
      </c>
      <c r="K115" s="11">
        <f t="shared" si="17"/>
        <v>0</v>
      </c>
      <c r="L115" s="11">
        <f t="shared" si="18"/>
        <v>73.326897600000009</v>
      </c>
      <c r="M115" s="11">
        <f t="shared" si="19"/>
        <v>0</v>
      </c>
      <c r="N115" s="11">
        <f t="shared" si="20"/>
        <v>65.608276800000013</v>
      </c>
      <c r="O115" s="11">
        <f t="shared" si="21"/>
        <v>0</v>
      </c>
      <c r="P115" s="11">
        <f t="shared" si="22"/>
        <v>59.497701999999997</v>
      </c>
      <c r="Q115" s="11">
        <f t="shared" si="23"/>
        <v>0</v>
      </c>
      <c r="R115" s="531"/>
      <c r="S115" s="415"/>
    </row>
    <row r="116" spans="1:19" s="180" customFormat="1" ht="13.5" thickBot="1">
      <c r="A116" s="1320"/>
      <c r="B116" s="416"/>
      <c r="C116" s="419" t="s">
        <v>1319</v>
      </c>
      <c r="D116" s="420" t="s">
        <v>1320</v>
      </c>
      <c r="E116" s="889">
        <v>769.97</v>
      </c>
      <c r="F116" s="8">
        <f t="shared" si="24"/>
        <v>423.48350000000005</v>
      </c>
      <c r="G116" s="10">
        <f t="shared" si="25"/>
        <v>0</v>
      </c>
      <c r="H116" s="11">
        <f t="shared" si="14"/>
        <v>13.284677395000003</v>
      </c>
      <c r="I116" s="11">
        <f t="shared" si="15"/>
        <v>0</v>
      </c>
      <c r="J116" s="11">
        <f t="shared" si="16"/>
        <v>11.603447900000001</v>
      </c>
      <c r="K116" s="11">
        <f t="shared" si="17"/>
        <v>0</v>
      </c>
      <c r="L116" s="11">
        <f t="shared" si="18"/>
        <v>9.6554238000000012</v>
      </c>
      <c r="M116" s="11">
        <f t="shared" si="19"/>
        <v>0</v>
      </c>
      <c r="N116" s="11">
        <f t="shared" si="20"/>
        <v>8.6390634000000013</v>
      </c>
      <c r="O116" s="11">
        <f t="shared" si="21"/>
        <v>0</v>
      </c>
      <c r="P116" s="11">
        <f t="shared" si="22"/>
        <v>7.8344447500000003</v>
      </c>
      <c r="Q116" s="11">
        <f t="shared" si="23"/>
        <v>0</v>
      </c>
      <c r="R116" s="531"/>
      <c r="S116" s="415"/>
    </row>
    <row r="117" spans="1:19" s="180" customFormat="1" ht="13.5" thickBot="1">
      <c r="A117" s="1320"/>
      <c r="B117" s="416"/>
      <c r="C117" s="419" t="s">
        <v>1138</v>
      </c>
      <c r="D117" s="420" t="s">
        <v>1139</v>
      </c>
      <c r="E117" s="889">
        <v>588.59</v>
      </c>
      <c r="F117" s="8">
        <f t="shared" si="24"/>
        <v>323.72450000000003</v>
      </c>
      <c r="G117" s="10">
        <f t="shared" si="25"/>
        <v>0</v>
      </c>
      <c r="H117" s="11">
        <f t="shared" si="14"/>
        <v>10.155237565000002</v>
      </c>
      <c r="I117" s="11">
        <f t="shared" si="15"/>
        <v>0</v>
      </c>
      <c r="J117" s="11">
        <f t="shared" si="16"/>
        <v>8.8700513000000019</v>
      </c>
      <c r="K117" s="11">
        <f t="shared" si="17"/>
        <v>0</v>
      </c>
      <c r="L117" s="11">
        <f t="shared" si="18"/>
        <v>7.3809186000000011</v>
      </c>
      <c r="M117" s="11">
        <f t="shared" si="19"/>
        <v>0</v>
      </c>
      <c r="N117" s="11">
        <f t="shared" si="20"/>
        <v>6.6039798000000012</v>
      </c>
      <c r="O117" s="11">
        <f t="shared" si="21"/>
        <v>0</v>
      </c>
      <c r="P117" s="11">
        <f t="shared" si="22"/>
        <v>5.9889032499999999</v>
      </c>
      <c r="Q117" s="11">
        <f t="shared" si="23"/>
        <v>0</v>
      </c>
      <c r="R117" s="531"/>
      <c r="S117" s="415"/>
    </row>
    <row r="118" spans="1:19" s="180" customFormat="1" ht="13.5" thickBot="1">
      <c r="A118" s="1320"/>
      <c r="B118" s="416"/>
      <c r="C118" s="417" t="s">
        <v>1142</v>
      </c>
      <c r="D118" s="418" t="s">
        <v>1143</v>
      </c>
      <c r="E118" s="889">
        <v>1883.48</v>
      </c>
      <c r="F118" s="8">
        <f t="shared" si="24"/>
        <v>1035.914</v>
      </c>
      <c r="G118" s="10">
        <f t="shared" si="25"/>
        <v>0</v>
      </c>
      <c r="H118" s="11">
        <f t="shared" si="14"/>
        <v>32.496622180000003</v>
      </c>
      <c r="I118" s="11">
        <f t="shared" si="15"/>
        <v>0</v>
      </c>
      <c r="J118" s="11">
        <f t="shared" si="16"/>
        <v>28.384043600000002</v>
      </c>
      <c r="K118" s="11">
        <f t="shared" si="17"/>
        <v>0</v>
      </c>
      <c r="L118" s="11">
        <f t="shared" si="18"/>
        <v>23.6188392</v>
      </c>
      <c r="M118" s="11">
        <f t="shared" si="19"/>
        <v>0</v>
      </c>
      <c r="N118" s="11">
        <f t="shared" si="20"/>
        <v>21.1326456</v>
      </c>
      <c r="O118" s="11">
        <f t="shared" si="21"/>
        <v>0</v>
      </c>
      <c r="P118" s="11">
        <f t="shared" si="22"/>
        <v>19.164408999999999</v>
      </c>
      <c r="Q118" s="11">
        <f t="shared" si="23"/>
        <v>0</v>
      </c>
      <c r="R118" s="531"/>
      <c r="S118" s="415"/>
    </row>
    <row r="119" spans="1:19" s="180" customFormat="1" ht="13.5" thickBot="1">
      <c r="A119" s="1320"/>
      <c r="B119" s="416"/>
      <c r="C119" s="419" t="s">
        <v>1321</v>
      </c>
      <c r="D119" s="420" t="s">
        <v>1322</v>
      </c>
      <c r="E119" s="889">
        <v>792.79</v>
      </c>
      <c r="F119" s="8">
        <f t="shared" si="24"/>
        <v>436.03450000000004</v>
      </c>
      <c r="G119" s="10">
        <f t="shared" si="25"/>
        <v>0</v>
      </c>
      <c r="H119" s="11">
        <f t="shared" si="14"/>
        <v>13.678402265000003</v>
      </c>
      <c r="I119" s="11">
        <f t="shared" si="15"/>
        <v>0</v>
      </c>
      <c r="J119" s="11">
        <f t="shared" si="16"/>
        <v>11.947345300000002</v>
      </c>
      <c r="K119" s="11">
        <f t="shared" si="17"/>
        <v>0</v>
      </c>
      <c r="L119" s="11">
        <f t="shared" si="18"/>
        <v>9.9415866000000008</v>
      </c>
      <c r="M119" s="11">
        <f t="shared" si="19"/>
        <v>0</v>
      </c>
      <c r="N119" s="11">
        <f t="shared" si="20"/>
        <v>8.8951038000000011</v>
      </c>
      <c r="O119" s="11">
        <f t="shared" si="21"/>
        <v>0</v>
      </c>
      <c r="P119" s="11">
        <f t="shared" si="22"/>
        <v>8.0666382500000005</v>
      </c>
      <c r="Q119" s="11">
        <f t="shared" si="23"/>
        <v>0</v>
      </c>
      <c r="R119" s="531"/>
      <c r="S119" s="415"/>
    </row>
    <row r="120" spans="1:19" s="180" customFormat="1" ht="13.5" thickBot="1">
      <c r="A120" s="1320"/>
      <c r="B120" s="416"/>
      <c r="C120" s="419" t="s">
        <v>1323</v>
      </c>
      <c r="D120" s="420" t="s">
        <v>1324</v>
      </c>
      <c r="E120" s="889">
        <v>647.45000000000005</v>
      </c>
      <c r="F120" s="8">
        <f t="shared" si="24"/>
        <v>356.09750000000008</v>
      </c>
      <c r="G120" s="10">
        <f t="shared" si="25"/>
        <v>0</v>
      </c>
      <c r="H120" s="11">
        <f t="shared" si="14"/>
        <v>11.170778575000003</v>
      </c>
      <c r="I120" s="11">
        <f t="shared" si="15"/>
        <v>0</v>
      </c>
      <c r="J120" s="11">
        <f t="shared" si="16"/>
        <v>9.7570715000000021</v>
      </c>
      <c r="K120" s="11">
        <f t="shared" si="17"/>
        <v>0</v>
      </c>
      <c r="L120" s="11">
        <f t="shared" si="18"/>
        <v>8.1190230000000021</v>
      </c>
      <c r="M120" s="11">
        <f t="shared" si="19"/>
        <v>0</v>
      </c>
      <c r="N120" s="11">
        <f t="shared" si="20"/>
        <v>7.2643890000000022</v>
      </c>
      <c r="O120" s="11">
        <f t="shared" si="21"/>
        <v>0</v>
      </c>
      <c r="P120" s="11">
        <f t="shared" si="22"/>
        <v>6.5878037500000008</v>
      </c>
      <c r="Q120" s="11">
        <f t="shared" si="23"/>
        <v>0</v>
      </c>
      <c r="R120" s="531"/>
      <c r="S120" s="415"/>
    </row>
    <row r="121" spans="1:19" s="180" customFormat="1" ht="13.5" thickBot="1">
      <c r="A121" s="1320"/>
      <c r="B121" s="416"/>
      <c r="C121" s="417" t="s">
        <v>1325</v>
      </c>
      <c r="D121" s="418" t="s">
        <v>1326</v>
      </c>
      <c r="E121" s="889">
        <v>1017.42</v>
      </c>
      <c r="F121" s="8">
        <f t="shared" si="24"/>
        <v>559.58100000000002</v>
      </c>
      <c r="G121" s="10">
        <f t="shared" si="25"/>
        <v>0</v>
      </c>
      <c r="H121" s="11">
        <f t="shared" si="14"/>
        <v>17.55405597</v>
      </c>
      <c r="I121" s="11">
        <f t="shared" si="15"/>
        <v>0</v>
      </c>
      <c r="J121" s="11">
        <f t="shared" si="16"/>
        <v>15.332519400000001</v>
      </c>
      <c r="K121" s="11">
        <f t="shared" si="17"/>
        <v>0</v>
      </c>
      <c r="L121" s="11">
        <f t="shared" si="18"/>
        <v>12.758446800000002</v>
      </c>
      <c r="M121" s="11">
        <f t="shared" si="19"/>
        <v>0</v>
      </c>
      <c r="N121" s="11">
        <f t="shared" si="20"/>
        <v>11.415452400000001</v>
      </c>
      <c r="O121" s="11">
        <f t="shared" si="21"/>
        <v>0</v>
      </c>
      <c r="P121" s="11">
        <f t="shared" si="22"/>
        <v>10.3522485</v>
      </c>
      <c r="Q121" s="11">
        <f t="shared" si="23"/>
        <v>0</v>
      </c>
      <c r="R121" s="531"/>
      <c r="S121" s="415"/>
    </row>
    <row r="122" spans="1:19" s="180" customFormat="1" ht="13.5" thickBot="1">
      <c r="A122" s="1320"/>
      <c r="B122" s="416"/>
      <c r="C122" s="419" t="s">
        <v>1347</v>
      </c>
      <c r="D122" s="420" t="s">
        <v>1348</v>
      </c>
      <c r="E122" s="889">
        <v>5541.13</v>
      </c>
      <c r="F122" s="8">
        <f t="shared" si="24"/>
        <v>3047.6215000000002</v>
      </c>
      <c r="G122" s="10">
        <f t="shared" si="25"/>
        <v>0</v>
      </c>
      <c r="H122" s="11">
        <f t="shared" si="14"/>
        <v>95.603886455000008</v>
      </c>
      <c r="I122" s="11">
        <f t="shared" si="15"/>
        <v>0</v>
      </c>
      <c r="J122" s="11">
        <f t="shared" si="16"/>
        <v>83.504829100000009</v>
      </c>
      <c r="K122" s="11">
        <f t="shared" si="17"/>
        <v>0</v>
      </c>
      <c r="L122" s="11">
        <f t="shared" si="18"/>
        <v>69.485770200000005</v>
      </c>
      <c r="M122" s="11">
        <f t="shared" si="19"/>
        <v>0</v>
      </c>
      <c r="N122" s="11">
        <f t="shared" si="20"/>
        <v>62.171478600000007</v>
      </c>
      <c r="O122" s="11">
        <f t="shared" si="21"/>
        <v>0</v>
      </c>
      <c r="P122" s="11">
        <f t="shared" si="22"/>
        <v>56.380997749999999</v>
      </c>
      <c r="Q122" s="11">
        <f t="shared" si="23"/>
        <v>0</v>
      </c>
      <c r="R122" s="531"/>
      <c r="S122" s="415"/>
    </row>
    <row r="123" spans="1:19" s="180" customFormat="1" ht="13.5" thickBot="1">
      <c r="A123" s="1320"/>
      <c r="B123" s="416"/>
      <c r="C123" s="419" t="s">
        <v>1229</v>
      </c>
      <c r="D123" s="420" t="s">
        <v>1230</v>
      </c>
      <c r="E123" s="889">
        <v>4436.03</v>
      </c>
      <c r="F123" s="8">
        <f t="shared" si="24"/>
        <v>2439.8164999999999</v>
      </c>
      <c r="G123" s="10">
        <f t="shared" si="25"/>
        <v>0</v>
      </c>
      <c r="H123" s="11">
        <f t="shared" si="14"/>
        <v>76.537043605000008</v>
      </c>
      <c r="I123" s="11">
        <f t="shared" si="15"/>
        <v>0</v>
      </c>
      <c r="J123" s="11">
        <f t="shared" si="16"/>
        <v>66.850972099999993</v>
      </c>
      <c r="K123" s="11">
        <f t="shared" si="17"/>
        <v>0</v>
      </c>
      <c r="L123" s="11">
        <f t="shared" si="18"/>
        <v>55.627816199999998</v>
      </c>
      <c r="M123" s="11">
        <f t="shared" si="19"/>
        <v>0</v>
      </c>
      <c r="N123" s="11">
        <f t="shared" si="20"/>
        <v>49.772256599999999</v>
      </c>
      <c r="O123" s="11">
        <f t="shared" si="21"/>
        <v>0</v>
      </c>
      <c r="P123" s="11">
        <f t="shared" si="22"/>
        <v>45.136605249999995</v>
      </c>
      <c r="Q123" s="11">
        <f t="shared" si="23"/>
        <v>0</v>
      </c>
      <c r="R123" s="531"/>
      <c r="S123" s="415"/>
    </row>
    <row r="124" spans="1:19" s="180" customFormat="1" ht="13.5" thickBot="1">
      <c r="A124" s="1320"/>
      <c r="B124" s="416"/>
      <c r="C124" s="419" t="s">
        <v>384</v>
      </c>
      <c r="D124" s="420" t="s">
        <v>3999</v>
      </c>
      <c r="E124" s="889">
        <v>116.84</v>
      </c>
      <c r="F124" s="8">
        <f t="shared" si="24"/>
        <v>64.262</v>
      </c>
      <c r="G124" s="10">
        <f t="shared" si="25"/>
        <v>0</v>
      </c>
      <c r="H124" s="11">
        <f t="shared" si="14"/>
        <v>2.01589894</v>
      </c>
      <c r="I124" s="11">
        <f t="shared" si="15"/>
        <v>0</v>
      </c>
      <c r="J124" s="11">
        <f t="shared" si="16"/>
        <v>1.7607788</v>
      </c>
      <c r="K124" s="11">
        <f t="shared" si="17"/>
        <v>0</v>
      </c>
      <c r="L124" s="11">
        <f t="shared" si="18"/>
        <v>1.4651736</v>
      </c>
      <c r="M124" s="11">
        <f t="shared" si="19"/>
        <v>0</v>
      </c>
      <c r="N124" s="11">
        <f t="shared" si="20"/>
        <v>1.3109448000000001</v>
      </c>
      <c r="O124" s="11">
        <f t="shared" si="21"/>
        <v>0</v>
      </c>
      <c r="P124" s="11">
        <f t="shared" si="22"/>
        <v>1.188847</v>
      </c>
      <c r="Q124" s="11">
        <f t="shared" si="23"/>
        <v>0</v>
      </c>
      <c r="R124" s="531"/>
      <c r="S124" s="415"/>
    </row>
    <row r="125" spans="1:19" s="180" customFormat="1" ht="13.5" thickBot="1">
      <c r="A125" s="1320"/>
      <c r="B125" s="416"/>
      <c r="C125" s="417" t="s">
        <v>1327</v>
      </c>
      <c r="D125" s="418" t="s">
        <v>1328</v>
      </c>
      <c r="E125" s="889">
        <v>912.91</v>
      </c>
      <c r="F125" s="8">
        <f t="shared" si="24"/>
        <v>502.10050000000001</v>
      </c>
      <c r="G125" s="10">
        <f t="shared" si="25"/>
        <v>0</v>
      </c>
      <c r="H125" s="11">
        <f t="shared" si="14"/>
        <v>15.750892685000002</v>
      </c>
      <c r="I125" s="11">
        <f t="shared" si="15"/>
        <v>0</v>
      </c>
      <c r="J125" s="11">
        <f t="shared" si="16"/>
        <v>13.757553700000001</v>
      </c>
      <c r="K125" s="11">
        <f t="shared" si="17"/>
        <v>0</v>
      </c>
      <c r="L125" s="11">
        <f t="shared" si="18"/>
        <v>11.447891400000001</v>
      </c>
      <c r="M125" s="11">
        <f t="shared" si="19"/>
        <v>0</v>
      </c>
      <c r="N125" s="11">
        <f t="shared" si="20"/>
        <v>10.242850200000001</v>
      </c>
      <c r="O125" s="11">
        <f t="shared" si="21"/>
        <v>0</v>
      </c>
      <c r="P125" s="11">
        <f t="shared" si="22"/>
        <v>9.2888592499999998</v>
      </c>
      <c r="Q125" s="11">
        <f t="shared" si="23"/>
        <v>0</v>
      </c>
      <c r="R125" s="531"/>
      <c r="S125" s="415"/>
    </row>
    <row r="126" spans="1:19" s="180" customFormat="1" ht="13.5" thickBot="1">
      <c r="A126" s="1321"/>
      <c r="B126" s="416"/>
      <c r="C126" s="419" t="s">
        <v>1152</v>
      </c>
      <c r="D126" s="420" t="s">
        <v>1231</v>
      </c>
      <c r="E126" s="889">
        <v>5018.6099999999997</v>
      </c>
      <c r="F126" s="8">
        <f t="shared" si="24"/>
        <v>2760.2355000000002</v>
      </c>
      <c r="G126" s="10">
        <f t="shared" si="25"/>
        <v>0</v>
      </c>
      <c r="H126" s="11">
        <f t="shared" si="14"/>
        <v>86.58858763500001</v>
      </c>
      <c r="I126" s="11">
        <f t="shared" si="15"/>
        <v>0</v>
      </c>
      <c r="J126" s="11">
        <f t="shared" si="16"/>
        <v>75.630452700000006</v>
      </c>
      <c r="K126" s="11">
        <f t="shared" si="17"/>
        <v>0</v>
      </c>
      <c r="L126" s="11">
        <f t="shared" si="18"/>
        <v>62.933369400000011</v>
      </c>
      <c r="M126" s="11">
        <f t="shared" si="19"/>
        <v>0</v>
      </c>
      <c r="N126" s="11">
        <f t="shared" si="20"/>
        <v>56.308804200000012</v>
      </c>
      <c r="O126" s="11">
        <f t="shared" si="21"/>
        <v>0</v>
      </c>
      <c r="P126" s="11">
        <f t="shared" si="22"/>
        <v>51.064356750000002</v>
      </c>
      <c r="Q126" s="11">
        <f t="shared" si="23"/>
        <v>0</v>
      </c>
      <c r="R126" s="531"/>
      <c r="S126" s="415"/>
    </row>
    <row r="127" spans="1:19" s="180" customFormat="1" ht="13.5" thickBot="1">
      <c r="A127" s="1321"/>
      <c r="B127" s="416"/>
      <c r="C127" s="419" t="s">
        <v>1232</v>
      </c>
      <c r="D127" s="420" t="s">
        <v>1233</v>
      </c>
      <c r="E127" s="889">
        <v>59245.59</v>
      </c>
      <c r="F127" s="8">
        <f t="shared" si="24"/>
        <v>32585.074500000002</v>
      </c>
      <c r="G127" s="10">
        <f t="shared" si="25"/>
        <v>0</v>
      </c>
      <c r="H127" s="11">
        <f t="shared" si="14"/>
        <v>1022.1937870650002</v>
      </c>
      <c r="I127" s="11">
        <f t="shared" si="15"/>
        <v>0</v>
      </c>
      <c r="J127" s="11">
        <f t="shared" si="16"/>
        <v>892.83104130000004</v>
      </c>
      <c r="K127" s="11">
        <f t="shared" si="17"/>
        <v>0</v>
      </c>
      <c r="L127" s="11">
        <f t="shared" si="18"/>
        <v>742.93969860000004</v>
      </c>
      <c r="M127" s="11">
        <f t="shared" si="19"/>
        <v>0</v>
      </c>
      <c r="N127" s="11">
        <f t="shared" si="20"/>
        <v>664.73551980000013</v>
      </c>
      <c r="O127" s="11">
        <f t="shared" si="21"/>
        <v>0</v>
      </c>
      <c r="P127" s="11">
        <f t="shared" si="22"/>
        <v>602.82387825000001</v>
      </c>
      <c r="Q127" s="11">
        <f t="shared" si="23"/>
        <v>0</v>
      </c>
      <c r="R127" s="531"/>
      <c r="S127" s="415"/>
    </row>
    <row r="128" spans="1:19" s="180" customFormat="1" ht="13.5" thickBot="1">
      <c r="A128" s="1321"/>
      <c r="B128" s="416"/>
      <c r="C128" s="417" t="s">
        <v>3961</v>
      </c>
      <c r="D128" s="418" t="s">
        <v>1234</v>
      </c>
      <c r="E128" s="889">
        <v>7399.39</v>
      </c>
      <c r="F128" s="8">
        <f t="shared" si="24"/>
        <v>4069.6645000000003</v>
      </c>
      <c r="G128" s="10">
        <f t="shared" si="25"/>
        <v>0</v>
      </c>
      <c r="H128" s="11">
        <f t="shared" si="14"/>
        <v>127.66537536500002</v>
      </c>
      <c r="I128" s="11">
        <f t="shared" si="15"/>
        <v>0</v>
      </c>
      <c r="J128" s="11">
        <f t="shared" si="16"/>
        <v>111.50880730000002</v>
      </c>
      <c r="K128" s="11">
        <f t="shared" si="17"/>
        <v>0</v>
      </c>
      <c r="L128" s="11">
        <f t="shared" si="18"/>
        <v>92.788350600000015</v>
      </c>
      <c r="M128" s="11">
        <f t="shared" si="19"/>
        <v>0</v>
      </c>
      <c r="N128" s="11">
        <f t="shared" si="20"/>
        <v>83.021155800000017</v>
      </c>
      <c r="O128" s="11">
        <f t="shared" si="21"/>
        <v>0</v>
      </c>
      <c r="P128" s="11">
        <f t="shared" si="22"/>
        <v>75.288793249999998</v>
      </c>
      <c r="Q128" s="11">
        <f t="shared" si="23"/>
        <v>0</v>
      </c>
      <c r="R128" s="531"/>
      <c r="S128" s="415"/>
    </row>
    <row r="129" spans="1:19" s="180" customFormat="1" ht="13.5" thickBot="1">
      <c r="A129" s="1321"/>
      <c r="B129" s="416"/>
      <c r="C129" s="419" t="s">
        <v>1235</v>
      </c>
      <c r="D129" s="420" t="s">
        <v>1381</v>
      </c>
      <c r="E129" s="889">
        <v>5179.58</v>
      </c>
      <c r="F129" s="8">
        <f t="shared" si="24"/>
        <v>2848.7690000000002</v>
      </c>
      <c r="G129" s="10">
        <f t="shared" si="25"/>
        <v>0</v>
      </c>
      <c r="H129" s="11">
        <f t="shared" si="14"/>
        <v>89.365883530000019</v>
      </c>
      <c r="I129" s="11">
        <f t="shared" si="15"/>
        <v>0</v>
      </c>
      <c r="J129" s="11">
        <f t="shared" si="16"/>
        <v>78.056270600000005</v>
      </c>
      <c r="K129" s="11">
        <f t="shared" si="17"/>
        <v>0</v>
      </c>
      <c r="L129" s="11">
        <f t="shared" si="18"/>
        <v>64.951933200000013</v>
      </c>
      <c r="M129" s="11">
        <f t="shared" si="19"/>
        <v>0</v>
      </c>
      <c r="N129" s="11">
        <f t="shared" si="20"/>
        <v>58.11488760000001</v>
      </c>
      <c r="O129" s="11">
        <f t="shared" si="21"/>
        <v>0</v>
      </c>
      <c r="P129" s="11">
        <f t="shared" si="22"/>
        <v>52.702226500000002</v>
      </c>
      <c r="Q129" s="11">
        <f t="shared" si="23"/>
        <v>0</v>
      </c>
      <c r="R129" s="531"/>
      <c r="S129" s="415"/>
    </row>
    <row r="130" spans="1:19" s="180" customFormat="1" ht="13.5" thickBot="1">
      <c r="A130" s="1321"/>
      <c r="B130" s="416"/>
      <c r="C130" s="417" t="s">
        <v>1329</v>
      </c>
      <c r="D130" s="418" t="s">
        <v>4000</v>
      </c>
      <c r="E130" s="889">
        <v>8529.7199999999993</v>
      </c>
      <c r="F130" s="8">
        <f t="shared" si="24"/>
        <v>4691.3460000000005</v>
      </c>
      <c r="G130" s="10">
        <f t="shared" si="25"/>
        <v>0</v>
      </c>
      <c r="H130" s="11">
        <f t="shared" si="14"/>
        <v>147.16752402000003</v>
      </c>
      <c r="I130" s="11">
        <f t="shared" si="15"/>
        <v>0</v>
      </c>
      <c r="J130" s="11">
        <f t="shared" si="16"/>
        <v>128.54288040000003</v>
      </c>
      <c r="K130" s="11">
        <f t="shared" si="17"/>
        <v>0</v>
      </c>
      <c r="L130" s="11">
        <f t="shared" si="18"/>
        <v>106.96268880000001</v>
      </c>
      <c r="M130" s="11">
        <f t="shared" si="19"/>
        <v>0</v>
      </c>
      <c r="N130" s="11">
        <f t="shared" si="20"/>
        <v>95.703458400000017</v>
      </c>
      <c r="O130" s="11">
        <f t="shared" si="21"/>
        <v>0</v>
      </c>
      <c r="P130" s="11">
        <f t="shared" si="22"/>
        <v>86.789901</v>
      </c>
      <c r="Q130" s="11">
        <f t="shared" si="23"/>
        <v>0</v>
      </c>
      <c r="R130" s="531"/>
      <c r="S130" s="415"/>
    </row>
    <row r="131" spans="1:19" s="180" customFormat="1" ht="13.5" thickBot="1">
      <c r="A131" s="1321"/>
      <c r="B131" s="416"/>
      <c r="C131" s="419" t="s">
        <v>1330</v>
      </c>
      <c r="D131" s="420" t="s">
        <v>4001</v>
      </c>
      <c r="E131" s="889">
        <v>14164.55</v>
      </c>
      <c r="F131" s="8">
        <f t="shared" si="24"/>
        <v>7790.5025000000005</v>
      </c>
      <c r="G131" s="10">
        <f t="shared" si="25"/>
        <v>0</v>
      </c>
      <c r="H131" s="11">
        <f t="shared" si="14"/>
        <v>244.38806342500004</v>
      </c>
      <c r="I131" s="11">
        <f t="shared" si="15"/>
        <v>0</v>
      </c>
      <c r="J131" s="11">
        <f t="shared" si="16"/>
        <v>213.45976850000002</v>
      </c>
      <c r="K131" s="11">
        <f t="shared" si="17"/>
        <v>0</v>
      </c>
      <c r="L131" s="11">
        <f t="shared" si="18"/>
        <v>177.62345700000003</v>
      </c>
      <c r="M131" s="11">
        <f t="shared" si="19"/>
        <v>0</v>
      </c>
      <c r="N131" s="11">
        <f t="shared" si="20"/>
        <v>158.92625100000001</v>
      </c>
      <c r="O131" s="11">
        <f t="shared" si="21"/>
        <v>0</v>
      </c>
      <c r="P131" s="11">
        <f t="shared" si="22"/>
        <v>144.12429625000001</v>
      </c>
      <c r="Q131" s="11">
        <f t="shared" si="23"/>
        <v>0</v>
      </c>
      <c r="R131" s="531"/>
      <c r="S131" s="415"/>
    </row>
    <row r="132" spans="1:19" s="180" customFormat="1" ht="13.5" thickBot="1">
      <c r="A132" s="1321"/>
      <c r="B132" s="416"/>
      <c r="C132" s="419" t="s">
        <v>1132</v>
      </c>
      <c r="D132" s="420" t="s">
        <v>1133</v>
      </c>
      <c r="E132" s="889">
        <v>1471.47</v>
      </c>
      <c r="F132" s="8">
        <f t="shared" si="24"/>
        <v>809.30850000000009</v>
      </c>
      <c r="G132" s="10">
        <f t="shared" si="25"/>
        <v>0</v>
      </c>
      <c r="H132" s="11">
        <f t="shared" si="14"/>
        <v>25.388007645000005</v>
      </c>
      <c r="I132" s="11">
        <f t="shared" si="15"/>
        <v>0</v>
      </c>
      <c r="J132" s="11">
        <f t="shared" si="16"/>
        <v>22.175052900000004</v>
      </c>
      <c r="K132" s="11">
        <f t="shared" si="17"/>
        <v>0</v>
      </c>
      <c r="L132" s="11">
        <f t="shared" si="18"/>
        <v>18.452233800000002</v>
      </c>
      <c r="M132" s="11">
        <f t="shared" si="19"/>
        <v>0</v>
      </c>
      <c r="N132" s="11">
        <f t="shared" si="20"/>
        <v>16.509893400000003</v>
      </c>
      <c r="O132" s="11">
        <f t="shared" si="21"/>
        <v>0</v>
      </c>
      <c r="P132" s="11">
        <f t="shared" si="22"/>
        <v>14.97220725</v>
      </c>
      <c r="Q132" s="11">
        <f t="shared" si="23"/>
        <v>0</v>
      </c>
      <c r="R132" s="531"/>
      <c r="S132" s="415"/>
    </row>
    <row r="133" spans="1:19" s="180" customFormat="1" ht="13.5" thickBot="1">
      <c r="A133" s="1321"/>
      <c r="B133" s="416"/>
      <c r="C133" s="419" t="s">
        <v>1150</v>
      </c>
      <c r="D133" s="420" t="s">
        <v>1151</v>
      </c>
      <c r="E133" s="889">
        <v>1103.9100000000001</v>
      </c>
      <c r="F133" s="8">
        <f t="shared" si="24"/>
        <v>607.15050000000008</v>
      </c>
      <c r="G133" s="10">
        <f t="shared" si="25"/>
        <v>0</v>
      </c>
      <c r="H133" s="11">
        <f t="shared" si="14"/>
        <v>19.046311185000004</v>
      </c>
      <c r="I133" s="11">
        <f t="shared" si="15"/>
        <v>0</v>
      </c>
      <c r="J133" s="11">
        <f t="shared" si="16"/>
        <v>16.635923700000003</v>
      </c>
      <c r="K133" s="11">
        <f t="shared" si="17"/>
        <v>0</v>
      </c>
      <c r="L133" s="11">
        <f t="shared" si="18"/>
        <v>13.843031400000003</v>
      </c>
      <c r="M133" s="11">
        <f t="shared" si="19"/>
        <v>0</v>
      </c>
      <c r="N133" s="11">
        <f t="shared" si="20"/>
        <v>12.385870200000003</v>
      </c>
      <c r="O133" s="11">
        <f t="shared" si="21"/>
        <v>0</v>
      </c>
      <c r="P133" s="11">
        <f t="shared" si="22"/>
        <v>11.232284250000001</v>
      </c>
      <c r="Q133" s="11">
        <f t="shared" si="23"/>
        <v>0</v>
      </c>
      <c r="R133" s="531"/>
      <c r="S133" s="415"/>
    </row>
    <row r="134" spans="1:19" s="180" customFormat="1" ht="13.5" thickBot="1">
      <c r="A134" s="1321"/>
      <c r="B134" s="416"/>
      <c r="C134" s="419" t="s">
        <v>1238</v>
      </c>
      <c r="D134" s="420" t="s">
        <v>1239</v>
      </c>
      <c r="E134" s="889">
        <v>1610.28</v>
      </c>
      <c r="F134" s="8">
        <f t="shared" si="24"/>
        <v>885.65400000000011</v>
      </c>
      <c r="G134" s="10">
        <f t="shared" si="25"/>
        <v>0</v>
      </c>
      <c r="H134" s="11">
        <f t="shared" si="14"/>
        <v>27.782965980000004</v>
      </c>
      <c r="I134" s="11">
        <f t="shared" si="15"/>
        <v>0</v>
      </c>
      <c r="J134" s="11">
        <f t="shared" si="16"/>
        <v>24.266919600000005</v>
      </c>
      <c r="K134" s="11">
        <f t="shared" si="17"/>
        <v>0</v>
      </c>
      <c r="L134" s="11">
        <f t="shared" si="18"/>
        <v>20.192911200000005</v>
      </c>
      <c r="M134" s="11">
        <f t="shared" si="19"/>
        <v>0</v>
      </c>
      <c r="N134" s="11">
        <f t="shared" si="20"/>
        <v>18.067341600000002</v>
      </c>
      <c r="O134" s="11">
        <f t="shared" si="21"/>
        <v>0</v>
      </c>
      <c r="P134" s="11">
        <f t="shared" si="22"/>
        <v>16.384599000000001</v>
      </c>
      <c r="Q134" s="11">
        <f t="shared" si="23"/>
        <v>0</v>
      </c>
      <c r="R134" s="531"/>
      <c r="S134" s="415"/>
    </row>
    <row r="135" spans="1:19" s="180" customFormat="1" ht="13.5" thickBot="1">
      <c r="A135" s="1321"/>
      <c r="B135" s="416"/>
      <c r="C135" s="419" t="s">
        <v>3962</v>
      </c>
      <c r="D135" s="420" t="s">
        <v>3963</v>
      </c>
      <c r="E135" s="889">
        <v>1610.28</v>
      </c>
      <c r="F135" s="8">
        <f t="shared" si="24"/>
        <v>885.65400000000011</v>
      </c>
      <c r="G135" s="10">
        <f t="shared" si="25"/>
        <v>0</v>
      </c>
      <c r="H135" s="11">
        <f t="shared" si="14"/>
        <v>27.782965980000004</v>
      </c>
      <c r="I135" s="11">
        <f t="shared" si="15"/>
        <v>0</v>
      </c>
      <c r="J135" s="11">
        <f t="shared" si="16"/>
        <v>24.266919600000005</v>
      </c>
      <c r="K135" s="11">
        <f t="shared" si="17"/>
        <v>0</v>
      </c>
      <c r="L135" s="11">
        <f t="shared" si="18"/>
        <v>20.192911200000005</v>
      </c>
      <c r="M135" s="11">
        <f t="shared" si="19"/>
        <v>0</v>
      </c>
      <c r="N135" s="11">
        <f t="shared" si="20"/>
        <v>18.067341600000002</v>
      </c>
      <c r="O135" s="11">
        <f t="shared" si="21"/>
        <v>0</v>
      </c>
      <c r="P135" s="11">
        <f t="shared" si="22"/>
        <v>16.384599000000001</v>
      </c>
      <c r="Q135" s="11">
        <f t="shared" si="23"/>
        <v>0</v>
      </c>
      <c r="R135" s="531"/>
      <c r="S135" s="415"/>
    </row>
    <row r="136" spans="1:19" s="180" customFormat="1" ht="13.5" thickBot="1">
      <c r="A136" s="1321"/>
      <c r="B136" s="416"/>
      <c r="C136" s="419" t="s">
        <v>3964</v>
      </c>
      <c r="D136" s="951" t="s">
        <v>3965</v>
      </c>
      <c r="E136" s="889">
        <v>2514.2399999999998</v>
      </c>
      <c r="F136" s="8">
        <f t="shared" si="24"/>
        <v>1382.8319999999999</v>
      </c>
      <c r="G136" s="10">
        <f t="shared" si="25"/>
        <v>0</v>
      </c>
      <c r="H136" s="11">
        <f t="shared" si="14"/>
        <v>43.379439839999996</v>
      </c>
      <c r="I136" s="11">
        <f t="shared" si="15"/>
        <v>0</v>
      </c>
      <c r="J136" s="11">
        <f t="shared" si="16"/>
        <v>37.8895968</v>
      </c>
      <c r="K136" s="11">
        <f t="shared" si="17"/>
        <v>0</v>
      </c>
      <c r="L136" s="11">
        <f t="shared" si="18"/>
        <v>31.528569599999997</v>
      </c>
      <c r="M136" s="11">
        <f t="shared" si="19"/>
        <v>0</v>
      </c>
      <c r="N136" s="11">
        <f t="shared" si="20"/>
        <v>28.2097728</v>
      </c>
      <c r="O136" s="11">
        <f t="shared" si="21"/>
        <v>0</v>
      </c>
      <c r="P136" s="11">
        <f t="shared" si="22"/>
        <v>25.582391999999995</v>
      </c>
      <c r="Q136" s="11">
        <f t="shared" si="23"/>
        <v>0</v>
      </c>
      <c r="R136" s="531"/>
      <c r="S136" s="415"/>
    </row>
    <row r="137" spans="1:19" s="180" customFormat="1" ht="13.5" thickBot="1">
      <c r="A137" s="1321"/>
      <c r="B137" s="416"/>
      <c r="C137" s="417" t="s">
        <v>3966</v>
      </c>
      <c r="D137" s="952" t="s">
        <v>3967</v>
      </c>
      <c r="E137" s="889">
        <v>31146.560000000001</v>
      </c>
      <c r="F137" s="8">
        <f t="shared" si="24"/>
        <v>17130.608000000004</v>
      </c>
      <c r="G137" s="10">
        <f t="shared" si="25"/>
        <v>0</v>
      </c>
      <c r="H137" s="11">
        <f t="shared" si="14"/>
        <v>537.38717296000016</v>
      </c>
      <c r="I137" s="11">
        <f t="shared" si="15"/>
        <v>0</v>
      </c>
      <c r="J137" s="11">
        <f t="shared" si="16"/>
        <v>469.37865920000013</v>
      </c>
      <c r="K137" s="11">
        <f t="shared" si="17"/>
        <v>0</v>
      </c>
      <c r="L137" s="11">
        <f t="shared" si="18"/>
        <v>390.57786240000013</v>
      </c>
      <c r="M137" s="11">
        <f t="shared" si="19"/>
        <v>0</v>
      </c>
      <c r="N137" s="11">
        <f t="shared" si="20"/>
        <v>349.46440320000011</v>
      </c>
      <c r="O137" s="11">
        <f t="shared" si="21"/>
        <v>0</v>
      </c>
      <c r="P137" s="11">
        <f t="shared" si="22"/>
        <v>316.91624800000005</v>
      </c>
      <c r="Q137" s="11">
        <f t="shared" si="23"/>
        <v>0</v>
      </c>
      <c r="R137" s="531"/>
      <c r="S137" s="415"/>
    </row>
    <row r="138" spans="1:19" s="180" customFormat="1" ht="13.5" thickBot="1">
      <c r="A138" s="1321"/>
      <c r="B138" s="416"/>
      <c r="C138" s="417">
        <v>13200002</v>
      </c>
      <c r="D138" s="418" t="s">
        <v>1240</v>
      </c>
      <c r="E138" s="889">
        <v>663.05</v>
      </c>
      <c r="F138" s="8">
        <f t="shared" si="24"/>
        <v>364.67750000000001</v>
      </c>
      <c r="G138" s="10">
        <f t="shared" si="25"/>
        <v>0</v>
      </c>
      <c r="H138" s="11">
        <f t="shared" si="14"/>
        <v>11.439933175</v>
      </c>
      <c r="I138" s="11">
        <f t="shared" si="15"/>
        <v>0</v>
      </c>
      <c r="J138" s="11">
        <f t="shared" si="16"/>
        <v>9.9921635000000002</v>
      </c>
      <c r="K138" s="11">
        <f t="shared" si="17"/>
        <v>0</v>
      </c>
      <c r="L138" s="11">
        <f t="shared" si="18"/>
        <v>8.3146470000000008</v>
      </c>
      <c r="M138" s="11">
        <f t="shared" si="19"/>
        <v>0</v>
      </c>
      <c r="N138" s="11">
        <f t="shared" si="20"/>
        <v>7.4394210000000003</v>
      </c>
      <c r="O138" s="11">
        <f t="shared" si="21"/>
        <v>0</v>
      </c>
      <c r="P138" s="11">
        <f t="shared" si="22"/>
        <v>6.7465337500000002</v>
      </c>
      <c r="Q138" s="11">
        <f t="shared" si="23"/>
        <v>0</v>
      </c>
      <c r="R138" s="531"/>
      <c r="S138" s="415"/>
    </row>
    <row r="139" spans="1:19" s="180" customFormat="1" ht="13.5" thickBot="1">
      <c r="A139" s="1321"/>
      <c r="B139" s="416"/>
      <c r="C139" s="419" t="s">
        <v>1241</v>
      </c>
      <c r="D139" s="420" t="s">
        <v>1242</v>
      </c>
      <c r="E139" s="889">
        <v>7546.63</v>
      </c>
      <c r="F139" s="8">
        <f t="shared" si="24"/>
        <v>4150.6465000000007</v>
      </c>
      <c r="G139" s="10">
        <f t="shared" si="25"/>
        <v>0</v>
      </c>
      <c r="H139" s="11">
        <f t="shared" si="14"/>
        <v>130.20578070500002</v>
      </c>
      <c r="I139" s="11">
        <f t="shared" si="15"/>
        <v>0</v>
      </c>
      <c r="J139" s="11">
        <f t="shared" si="16"/>
        <v>113.72771410000003</v>
      </c>
      <c r="K139" s="11">
        <f t="shared" si="17"/>
        <v>0</v>
      </c>
      <c r="L139" s="11">
        <f t="shared" si="18"/>
        <v>94.634740200000024</v>
      </c>
      <c r="M139" s="11">
        <f t="shared" si="19"/>
        <v>0</v>
      </c>
      <c r="N139" s="11">
        <f t="shared" si="20"/>
        <v>84.673188600000017</v>
      </c>
      <c r="O139" s="11">
        <f t="shared" si="21"/>
        <v>0</v>
      </c>
      <c r="P139" s="11">
        <f t="shared" si="22"/>
        <v>76.786960250000007</v>
      </c>
      <c r="Q139" s="11">
        <f t="shared" si="23"/>
        <v>0</v>
      </c>
      <c r="R139" s="531"/>
      <c r="S139" s="415"/>
    </row>
    <row r="140" spans="1:19" s="180" customFormat="1" ht="13.5" thickBot="1">
      <c r="A140" s="1321"/>
      <c r="B140" s="416"/>
      <c r="C140" s="419" t="s">
        <v>4016</v>
      </c>
      <c r="D140" s="420" t="s">
        <v>4017</v>
      </c>
      <c r="E140" s="889">
        <v>725.2</v>
      </c>
      <c r="F140" s="8">
        <f t="shared" si="24"/>
        <v>398.86000000000007</v>
      </c>
      <c r="G140" s="10">
        <f t="shared" si="25"/>
        <v>0</v>
      </c>
      <c r="H140" s="11">
        <f t="shared" si="14"/>
        <v>12.512238200000002</v>
      </c>
      <c r="I140" s="11">
        <f t="shared" si="15"/>
        <v>0</v>
      </c>
      <c r="J140" s="11">
        <f>F140*0.02564</f>
        <v>10.226770400000001</v>
      </c>
      <c r="K140" s="11">
        <f t="shared" si="17"/>
        <v>0</v>
      </c>
      <c r="L140" s="11">
        <f t="shared" si="18"/>
        <v>9.0940080000000023</v>
      </c>
      <c r="M140" s="11">
        <f t="shared" si="19"/>
        <v>0</v>
      </c>
      <c r="N140" s="11">
        <f t="shared" si="20"/>
        <v>8.136744000000002</v>
      </c>
      <c r="O140" s="11">
        <f t="shared" si="21"/>
        <v>0</v>
      </c>
      <c r="P140" s="11">
        <f t="shared" si="22"/>
        <v>7.3789100000000012</v>
      </c>
      <c r="Q140" s="11">
        <f t="shared" si="23"/>
        <v>0</v>
      </c>
      <c r="R140" s="531"/>
      <c r="S140" s="415"/>
    </row>
    <row r="141" spans="1:19" s="180" customFormat="1" ht="13.5" thickBot="1">
      <c r="A141" s="1321"/>
      <c r="B141" s="416"/>
      <c r="C141" s="419" t="s">
        <v>4018</v>
      </c>
      <c r="D141" s="420" t="s">
        <v>4019</v>
      </c>
      <c r="E141" s="889">
        <v>17592.400000000001</v>
      </c>
      <c r="F141" s="8">
        <f t="shared" si="24"/>
        <v>9675.8200000000015</v>
      </c>
      <c r="G141" s="10">
        <f t="shared" si="25"/>
        <v>0</v>
      </c>
      <c r="H141" s="11">
        <f t="shared" si="14"/>
        <v>303.53047340000006</v>
      </c>
      <c r="I141" s="11">
        <f t="shared" si="15"/>
        <v>0</v>
      </c>
      <c r="J141" s="11">
        <f>F141*0.0274</f>
        <v>265.11746800000003</v>
      </c>
      <c r="K141" s="11">
        <f t="shared" si="17"/>
        <v>0</v>
      </c>
      <c r="L141" s="11">
        <f t="shared" si="18"/>
        <v>220.60869600000004</v>
      </c>
      <c r="M141" s="11">
        <f t="shared" si="19"/>
        <v>0</v>
      </c>
      <c r="N141" s="11">
        <f t="shared" si="20"/>
        <v>197.38672800000003</v>
      </c>
      <c r="O141" s="11">
        <f t="shared" si="21"/>
        <v>0</v>
      </c>
      <c r="P141" s="11">
        <f t="shared" si="22"/>
        <v>179.00267000000002</v>
      </c>
      <c r="Q141" s="11">
        <f t="shared" si="23"/>
        <v>0</v>
      </c>
      <c r="R141" s="531"/>
      <c r="S141" s="415"/>
    </row>
    <row r="142" spans="1:19" s="180" customFormat="1" ht="13.5" thickBot="1">
      <c r="A142" s="1321"/>
      <c r="B142" s="416"/>
      <c r="C142" s="419" t="s">
        <v>1243</v>
      </c>
      <c r="D142" s="420" t="s">
        <v>1244</v>
      </c>
      <c r="E142" s="889">
        <v>51145.96</v>
      </c>
      <c r="F142" s="8">
        <f t="shared" si="24"/>
        <v>28130.278000000002</v>
      </c>
      <c r="G142" s="10">
        <f t="shared" si="25"/>
        <v>0</v>
      </c>
      <c r="H142" s="11">
        <f t="shared" si="14"/>
        <v>882.44682086000012</v>
      </c>
      <c r="I142" s="11">
        <f t="shared" si="15"/>
        <v>0</v>
      </c>
      <c r="J142" s="11">
        <f>F142*0.0274</f>
        <v>770.76961720000008</v>
      </c>
      <c r="K142" s="11">
        <f t="shared" si="17"/>
        <v>0</v>
      </c>
      <c r="L142" s="11">
        <f t="shared" si="18"/>
        <v>641.37033840000004</v>
      </c>
      <c r="M142" s="11">
        <f t="shared" si="19"/>
        <v>0</v>
      </c>
      <c r="N142" s="11">
        <f t="shared" si="20"/>
        <v>573.85767120000003</v>
      </c>
      <c r="O142" s="11">
        <f t="shared" si="21"/>
        <v>0</v>
      </c>
      <c r="P142" s="11">
        <f t="shared" si="22"/>
        <v>520.41014300000006</v>
      </c>
      <c r="Q142" s="11">
        <f t="shared" si="23"/>
        <v>0</v>
      </c>
      <c r="R142" s="531"/>
      <c r="S142" s="415"/>
    </row>
    <row r="143" spans="1:19" s="180" customFormat="1" ht="13.5" thickBot="1">
      <c r="A143" s="1321"/>
      <c r="B143" s="416"/>
      <c r="C143" s="419" t="s">
        <v>3970</v>
      </c>
      <c r="D143" s="420" t="s">
        <v>3971</v>
      </c>
      <c r="E143" s="889">
        <v>26114.75</v>
      </c>
      <c r="F143" s="8">
        <f t="shared" si="24"/>
        <v>14363.112500000001</v>
      </c>
      <c r="G143" s="10">
        <f t="shared" si="25"/>
        <v>0</v>
      </c>
      <c r="H143" s="11">
        <f t="shared" si="14"/>
        <v>450.57083912500008</v>
      </c>
      <c r="I143" s="11">
        <f t="shared" si="15"/>
        <v>0</v>
      </c>
      <c r="J143" s="11">
        <f>F143*0.02564</f>
        <v>368.27020450000003</v>
      </c>
      <c r="K143" s="11">
        <f t="shared" si="17"/>
        <v>0</v>
      </c>
      <c r="L143" s="11">
        <f>F143*0.0256</f>
        <v>367.69568000000004</v>
      </c>
      <c r="M143" s="11">
        <f t="shared" si="19"/>
        <v>0</v>
      </c>
      <c r="N143" s="11">
        <f t="shared" si="20"/>
        <v>293.00749500000006</v>
      </c>
      <c r="O143" s="11">
        <f t="shared" si="21"/>
        <v>0</v>
      </c>
      <c r="P143" s="11">
        <f t="shared" si="22"/>
        <v>265.71758125000002</v>
      </c>
      <c r="Q143" s="11">
        <f t="shared" si="23"/>
        <v>0</v>
      </c>
      <c r="R143" s="531"/>
      <c r="S143" s="415"/>
    </row>
    <row r="144" spans="1:19" s="180" customFormat="1" ht="13.5" thickBot="1">
      <c r="A144" s="1321"/>
      <c r="B144" s="416"/>
      <c r="C144" s="419">
        <v>13700022</v>
      </c>
      <c r="D144" s="420" t="s">
        <v>1245</v>
      </c>
      <c r="E144" s="889">
        <v>18623.990000000002</v>
      </c>
      <c r="F144" s="8">
        <f t="shared" si="24"/>
        <v>10243.194500000001</v>
      </c>
      <c r="G144" s="10">
        <f t="shared" si="25"/>
        <v>0</v>
      </c>
      <c r="H144" s="11">
        <f t="shared" si="14"/>
        <v>321.32901146500006</v>
      </c>
      <c r="I144" s="11">
        <f t="shared" si="15"/>
        <v>0</v>
      </c>
      <c r="J144" s="11">
        <f t="shared" ref="J144:J163" si="26">F144*0.0274</f>
        <v>280.66352930000005</v>
      </c>
      <c r="K144" s="11">
        <f t="shared" si="17"/>
        <v>0</v>
      </c>
      <c r="L144" s="11">
        <f t="shared" ref="L144:L163" si="27">F144*0.0228</f>
        <v>233.54483460000003</v>
      </c>
      <c r="M144" s="11">
        <f t="shared" si="19"/>
        <v>0</v>
      </c>
      <c r="N144" s="11">
        <f t="shared" si="20"/>
        <v>208.96116780000006</v>
      </c>
      <c r="O144" s="11">
        <f t="shared" si="21"/>
        <v>0</v>
      </c>
      <c r="P144" s="11">
        <f t="shared" si="22"/>
        <v>189.49909825</v>
      </c>
      <c r="Q144" s="11">
        <f t="shared" si="23"/>
        <v>0</v>
      </c>
      <c r="R144" s="531"/>
      <c r="S144" s="415"/>
    </row>
    <row r="145" spans="1:19" s="180" customFormat="1" ht="13.5" thickBot="1">
      <c r="A145" s="1321"/>
      <c r="B145" s="416"/>
      <c r="C145" s="417" t="s">
        <v>1249</v>
      </c>
      <c r="D145" s="418" t="s">
        <v>1250</v>
      </c>
      <c r="E145" s="889">
        <v>4733.1899999999996</v>
      </c>
      <c r="F145" s="8">
        <f t="shared" si="24"/>
        <v>2603.2545</v>
      </c>
      <c r="G145" s="10">
        <f t="shared" si="25"/>
        <v>0</v>
      </c>
      <c r="H145" s="11">
        <f t="shared" si="14"/>
        <v>81.66409366500001</v>
      </c>
      <c r="I145" s="11">
        <f t="shared" si="15"/>
        <v>0</v>
      </c>
      <c r="J145" s="11">
        <f t="shared" si="26"/>
        <v>71.329173300000008</v>
      </c>
      <c r="K145" s="11">
        <f t="shared" si="17"/>
        <v>0</v>
      </c>
      <c r="L145" s="11">
        <f t="shared" si="27"/>
        <v>59.354202600000001</v>
      </c>
      <c r="M145" s="11">
        <f t="shared" si="19"/>
        <v>0</v>
      </c>
      <c r="N145" s="11">
        <f t="shared" si="20"/>
        <v>53.106391800000004</v>
      </c>
      <c r="O145" s="11">
        <f t="shared" si="21"/>
        <v>0</v>
      </c>
      <c r="P145" s="11">
        <f t="shared" si="22"/>
        <v>48.160208249999997</v>
      </c>
      <c r="Q145" s="11">
        <f t="shared" si="23"/>
        <v>0</v>
      </c>
      <c r="R145" s="531"/>
      <c r="S145" s="415"/>
    </row>
    <row r="146" spans="1:19" s="180" customFormat="1" ht="13.5" thickBot="1">
      <c r="A146" s="1321"/>
      <c r="B146" s="416"/>
      <c r="C146" s="419" t="s">
        <v>1146</v>
      </c>
      <c r="D146" s="420" t="s">
        <v>1147</v>
      </c>
      <c r="E146" s="889">
        <v>11627.62</v>
      </c>
      <c r="F146" s="8">
        <f t="shared" si="24"/>
        <v>6395.1910000000007</v>
      </c>
      <c r="G146" s="10">
        <f t="shared" si="25"/>
        <v>0</v>
      </c>
      <c r="H146" s="11">
        <f t="shared" si="14"/>
        <v>200.61714167000002</v>
      </c>
      <c r="I146" s="11">
        <f t="shared" si="15"/>
        <v>0</v>
      </c>
      <c r="J146" s="11">
        <f t="shared" si="26"/>
        <v>175.22823340000002</v>
      </c>
      <c r="K146" s="11">
        <f t="shared" si="17"/>
        <v>0</v>
      </c>
      <c r="L146" s="11">
        <f t="shared" si="27"/>
        <v>145.81035480000003</v>
      </c>
      <c r="M146" s="11">
        <f t="shared" si="19"/>
        <v>0</v>
      </c>
      <c r="N146" s="11">
        <f t="shared" si="20"/>
        <v>130.46189640000003</v>
      </c>
      <c r="O146" s="11">
        <f t="shared" si="21"/>
        <v>0</v>
      </c>
      <c r="P146" s="11">
        <f t="shared" si="22"/>
        <v>118.31103350000001</v>
      </c>
      <c r="Q146" s="11">
        <f t="shared" si="23"/>
        <v>0</v>
      </c>
      <c r="R146" s="531"/>
      <c r="S146" s="415"/>
    </row>
    <row r="147" spans="1:19" s="180" customFormat="1" ht="13.5" thickBot="1">
      <c r="A147" s="1321"/>
      <c r="B147" s="416"/>
      <c r="C147" s="419" t="s">
        <v>1251</v>
      </c>
      <c r="D147" s="420" t="s">
        <v>1252</v>
      </c>
      <c r="E147" s="889">
        <v>6666.66</v>
      </c>
      <c r="F147" s="8">
        <f t="shared" si="24"/>
        <v>3666.663</v>
      </c>
      <c r="G147" s="10">
        <f t="shared" si="25"/>
        <v>0</v>
      </c>
      <c r="H147" s="11">
        <f t="shared" si="14"/>
        <v>115.02321831</v>
      </c>
      <c r="I147" s="11">
        <f t="shared" si="15"/>
        <v>0</v>
      </c>
      <c r="J147" s="11">
        <f t="shared" si="26"/>
        <v>100.4665662</v>
      </c>
      <c r="K147" s="11">
        <f t="shared" si="17"/>
        <v>0</v>
      </c>
      <c r="L147" s="11">
        <f t="shared" si="27"/>
        <v>83.599916399999998</v>
      </c>
      <c r="M147" s="11">
        <f t="shared" si="19"/>
        <v>0</v>
      </c>
      <c r="N147" s="11">
        <f t="shared" si="20"/>
        <v>74.799925200000004</v>
      </c>
      <c r="O147" s="11">
        <f t="shared" si="21"/>
        <v>0</v>
      </c>
      <c r="P147" s="11">
        <f t="shared" si="22"/>
        <v>67.833265499999996</v>
      </c>
      <c r="Q147" s="11">
        <f t="shared" si="23"/>
        <v>0</v>
      </c>
      <c r="R147" s="531"/>
      <c r="S147" s="415"/>
    </row>
    <row r="148" spans="1:19" s="180" customFormat="1" ht="13.5" thickBot="1">
      <c r="A148" s="1321"/>
      <c r="B148" s="416"/>
      <c r="C148" s="419" t="s">
        <v>1253</v>
      </c>
      <c r="D148" s="420" t="s">
        <v>1254</v>
      </c>
      <c r="E148" s="889">
        <v>36766.33</v>
      </c>
      <c r="F148" s="8">
        <f t="shared" si="24"/>
        <v>20221.481500000002</v>
      </c>
      <c r="G148" s="10">
        <f t="shared" si="25"/>
        <v>0</v>
      </c>
      <c r="H148" s="11">
        <f t="shared" si="14"/>
        <v>634.34787465500006</v>
      </c>
      <c r="I148" s="11">
        <f t="shared" si="15"/>
        <v>0</v>
      </c>
      <c r="J148" s="11">
        <f t="shared" si="26"/>
        <v>554.06859310000004</v>
      </c>
      <c r="K148" s="11">
        <f t="shared" si="17"/>
        <v>0</v>
      </c>
      <c r="L148" s="11">
        <f t="shared" si="27"/>
        <v>461.04977820000005</v>
      </c>
      <c r="M148" s="11">
        <f t="shared" si="19"/>
        <v>0</v>
      </c>
      <c r="N148" s="11">
        <f t="shared" si="20"/>
        <v>412.51822260000006</v>
      </c>
      <c r="O148" s="11">
        <f t="shared" si="21"/>
        <v>0</v>
      </c>
      <c r="P148" s="11">
        <f t="shared" si="22"/>
        <v>374.09740775</v>
      </c>
      <c r="Q148" s="11">
        <f t="shared" si="23"/>
        <v>0</v>
      </c>
      <c r="R148" s="531"/>
      <c r="S148" s="415"/>
    </row>
    <row r="149" spans="1:19" s="180" customFormat="1" ht="13.5" thickBot="1">
      <c r="A149" s="1321"/>
      <c r="B149" s="416"/>
      <c r="C149" s="419" t="s">
        <v>1136</v>
      </c>
      <c r="D149" s="420" t="s">
        <v>1137</v>
      </c>
      <c r="E149" s="889">
        <v>2613.81</v>
      </c>
      <c r="F149" s="8">
        <f t="shared" si="24"/>
        <v>1437.5955000000001</v>
      </c>
      <c r="G149" s="10">
        <f t="shared" si="25"/>
        <v>0</v>
      </c>
      <c r="H149" s="11">
        <f t="shared" si="14"/>
        <v>45.097370835000007</v>
      </c>
      <c r="I149" s="11">
        <f t="shared" si="15"/>
        <v>0</v>
      </c>
      <c r="J149" s="11">
        <f t="shared" si="26"/>
        <v>39.390116700000007</v>
      </c>
      <c r="K149" s="11">
        <f t="shared" si="17"/>
        <v>0</v>
      </c>
      <c r="L149" s="11">
        <f t="shared" si="27"/>
        <v>32.777177400000006</v>
      </c>
      <c r="M149" s="11">
        <f t="shared" si="19"/>
        <v>0</v>
      </c>
      <c r="N149" s="11">
        <f t="shared" si="20"/>
        <v>29.326948200000004</v>
      </c>
      <c r="O149" s="11">
        <f t="shared" si="21"/>
        <v>0</v>
      </c>
      <c r="P149" s="11">
        <f t="shared" si="22"/>
        <v>26.595516750000002</v>
      </c>
      <c r="Q149" s="11">
        <f t="shared" si="23"/>
        <v>0</v>
      </c>
      <c r="R149" s="531"/>
      <c r="S149" s="415"/>
    </row>
    <row r="150" spans="1:19" s="180" customFormat="1" ht="13.5" thickBot="1">
      <c r="A150" s="1321"/>
      <c r="B150" s="416"/>
      <c r="C150" s="419" t="s">
        <v>1255</v>
      </c>
      <c r="D150" s="420" t="s">
        <v>1256</v>
      </c>
      <c r="E150" s="889">
        <v>21425.81</v>
      </c>
      <c r="F150" s="8">
        <f t="shared" si="24"/>
        <v>11784.195500000002</v>
      </c>
      <c r="G150" s="10">
        <f t="shared" si="25"/>
        <v>0</v>
      </c>
      <c r="H150" s="11">
        <f t="shared" si="14"/>
        <v>369.67021283500009</v>
      </c>
      <c r="I150" s="11">
        <f t="shared" si="15"/>
        <v>0</v>
      </c>
      <c r="J150" s="11">
        <f t="shared" si="26"/>
        <v>322.88695670000004</v>
      </c>
      <c r="K150" s="11">
        <f t="shared" si="17"/>
        <v>0</v>
      </c>
      <c r="L150" s="11">
        <f t="shared" si="27"/>
        <v>268.67965740000005</v>
      </c>
      <c r="M150" s="11">
        <f t="shared" si="19"/>
        <v>0</v>
      </c>
      <c r="N150" s="11">
        <f t="shared" si="20"/>
        <v>240.39758820000006</v>
      </c>
      <c r="O150" s="11">
        <f t="shared" si="21"/>
        <v>0</v>
      </c>
      <c r="P150" s="11">
        <f t="shared" si="22"/>
        <v>218.00761675000001</v>
      </c>
      <c r="Q150" s="11">
        <f t="shared" si="23"/>
        <v>0</v>
      </c>
      <c r="R150" s="531"/>
      <c r="S150" s="415"/>
    </row>
    <row r="151" spans="1:19" s="180" customFormat="1" ht="13.5" thickBot="1">
      <c r="A151" s="1321"/>
      <c r="B151" s="416"/>
      <c r="C151" s="419" t="s">
        <v>1257</v>
      </c>
      <c r="D151" s="420" t="s">
        <v>1258</v>
      </c>
      <c r="E151" s="889">
        <v>21395.78</v>
      </c>
      <c r="F151" s="8">
        <f t="shared" si="24"/>
        <v>11767.679</v>
      </c>
      <c r="G151" s="10">
        <f t="shared" si="25"/>
        <v>0</v>
      </c>
      <c r="H151" s="11">
        <f t="shared" si="14"/>
        <v>369.15209023</v>
      </c>
      <c r="I151" s="11">
        <f t="shared" si="15"/>
        <v>0</v>
      </c>
      <c r="J151" s="11">
        <f t="shared" si="26"/>
        <v>322.43440459999999</v>
      </c>
      <c r="K151" s="11">
        <f t="shared" si="17"/>
        <v>0</v>
      </c>
      <c r="L151" s="11">
        <f t="shared" si="27"/>
        <v>268.30308120000001</v>
      </c>
      <c r="M151" s="11">
        <f t="shared" si="19"/>
        <v>0</v>
      </c>
      <c r="N151" s="11">
        <f t="shared" si="20"/>
        <v>240.06065160000003</v>
      </c>
      <c r="O151" s="11">
        <f t="shared" si="21"/>
        <v>0</v>
      </c>
      <c r="P151" s="11">
        <f t="shared" si="22"/>
        <v>217.70206149999999</v>
      </c>
      <c r="Q151" s="11">
        <f t="shared" si="23"/>
        <v>0</v>
      </c>
      <c r="R151" s="531"/>
      <c r="S151" s="415"/>
    </row>
    <row r="152" spans="1:19" s="180" customFormat="1" ht="13.5" thickBot="1">
      <c r="A152" s="1321"/>
      <c r="B152" s="416"/>
      <c r="C152" s="419" t="s">
        <v>1259</v>
      </c>
      <c r="D152" s="420" t="s">
        <v>1260</v>
      </c>
      <c r="E152" s="889">
        <v>6604.8</v>
      </c>
      <c r="F152" s="8">
        <f t="shared" si="24"/>
        <v>3632.6400000000003</v>
      </c>
      <c r="G152" s="10">
        <f t="shared" si="25"/>
        <v>0</v>
      </c>
      <c r="H152" s="11">
        <f t="shared" si="14"/>
        <v>113.95591680000001</v>
      </c>
      <c r="I152" s="11">
        <f t="shared" si="15"/>
        <v>0</v>
      </c>
      <c r="J152" s="11">
        <f t="shared" si="26"/>
        <v>99.53433600000001</v>
      </c>
      <c r="K152" s="11">
        <f t="shared" si="17"/>
        <v>0</v>
      </c>
      <c r="L152" s="11">
        <f t="shared" si="27"/>
        <v>82.824192000000011</v>
      </c>
      <c r="M152" s="11">
        <f t="shared" si="19"/>
        <v>0</v>
      </c>
      <c r="N152" s="11">
        <f t="shared" si="20"/>
        <v>74.105856000000017</v>
      </c>
      <c r="O152" s="11">
        <f t="shared" si="21"/>
        <v>0</v>
      </c>
      <c r="P152" s="11">
        <f t="shared" si="22"/>
        <v>67.20384</v>
      </c>
      <c r="Q152" s="11">
        <f t="shared" si="23"/>
        <v>0</v>
      </c>
      <c r="R152" s="531"/>
      <c r="S152" s="415"/>
    </row>
    <row r="153" spans="1:19" s="180" customFormat="1" ht="13.5" thickBot="1">
      <c r="A153" s="1321"/>
      <c r="B153" s="416"/>
      <c r="C153" s="419" t="s">
        <v>1261</v>
      </c>
      <c r="D153" s="420" t="s">
        <v>1262</v>
      </c>
      <c r="E153" s="889">
        <v>20929.71</v>
      </c>
      <c r="F153" s="8">
        <f t="shared" si="24"/>
        <v>11511.3405</v>
      </c>
      <c r="G153" s="10">
        <f t="shared" si="25"/>
        <v>0</v>
      </c>
      <c r="H153" s="11">
        <f t="shared" si="14"/>
        <v>361.11075148500004</v>
      </c>
      <c r="I153" s="11">
        <f t="shared" si="15"/>
        <v>0</v>
      </c>
      <c r="J153" s="11">
        <f t="shared" si="26"/>
        <v>315.41072969999999</v>
      </c>
      <c r="K153" s="11">
        <f t="shared" si="17"/>
        <v>0</v>
      </c>
      <c r="L153" s="11">
        <f t="shared" si="27"/>
        <v>262.4585634</v>
      </c>
      <c r="M153" s="11">
        <f t="shared" si="19"/>
        <v>0</v>
      </c>
      <c r="N153" s="11">
        <f t="shared" si="20"/>
        <v>234.83134620000001</v>
      </c>
      <c r="O153" s="11">
        <f t="shared" si="21"/>
        <v>0</v>
      </c>
      <c r="P153" s="11">
        <f t="shared" si="22"/>
        <v>212.95979925</v>
      </c>
      <c r="Q153" s="11">
        <f t="shared" si="23"/>
        <v>0</v>
      </c>
      <c r="R153" s="531"/>
      <c r="S153" s="415"/>
    </row>
    <row r="154" spans="1:19" s="180" customFormat="1" ht="13.5" thickBot="1">
      <c r="A154" s="1321"/>
      <c r="B154" s="416"/>
      <c r="C154" s="419" t="s">
        <v>3973</v>
      </c>
      <c r="D154" s="420" t="s">
        <v>3974</v>
      </c>
      <c r="E154" s="889">
        <v>6534.53</v>
      </c>
      <c r="F154" s="8">
        <f t="shared" si="24"/>
        <v>3593.9915000000001</v>
      </c>
      <c r="G154" s="10">
        <f t="shared" si="25"/>
        <v>0</v>
      </c>
      <c r="H154" s="11">
        <f t="shared" si="14"/>
        <v>112.743513355</v>
      </c>
      <c r="I154" s="11">
        <f t="shared" si="15"/>
        <v>0</v>
      </c>
      <c r="J154" s="11">
        <f t="shared" si="26"/>
        <v>98.4753671</v>
      </c>
      <c r="K154" s="11">
        <f t="shared" si="17"/>
        <v>0</v>
      </c>
      <c r="L154" s="11">
        <f t="shared" si="27"/>
        <v>81.943006199999999</v>
      </c>
      <c r="M154" s="11">
        <f t="shared" si="19"/>
        <v>0</v>
      </c>
      <c r="N154" s="11">
        <f t="shared" si="20"/>
        <v>73.317426600000005</v>
      </c>
      <c r="O154" s="11">
        <f t="shared" si="21"/>
        <v>0</v>
      </c>
      <c r="P154" s="11">
        <f t="shared" si="22"/>
        <v>66.488842750000003</v>
      </c>
      <c r="Q154" s="11">
        <f t="shared" si="23"/>
        <v>0</v>
      </c>
      <c r="R154" s="531"/>
      <c r="S154" s="415"/>
    </row>
    <row r="155" spans="1:19" s="180" customFormat="1" ht="13.5" thickBot="1">
      <c r="A155" s="1321"/>
      <c r="B155" s="416"/>
      <c r="C155" s="419" t="s">
        <v>3975</v>
      </c>
      <c r="D155" s="420" t="s">
        <v>3976</v>
      </c>
      <c r="E155" s="889">
        <v>43398.58</v>
      </c>
      <c r="F155" s="8">
        <f t="shared" si="24"/>
        <v>23869.219000000005</v>
      </c>
      <c r="G155" s="10">
        <f t="shared" si="25"/>
        <v>0</v>
      </c>
      <c r="H155" s="11">
        <f t="shared" si="14"/>
        <v>748.77740003000019</v>
      </c>
      <c r="I155" s="11">
        <f t="shared" si="15"/>
        <v>0</v>
      </c>
      <c r="J155" s="11">
        <f t="shared" si="26"/>
        <v>654.01660060000017</v>
      </c>
      <c r="K155" s="11">
        <f t="shared" si="17"/>
        <v>0</v>
      </c>
      <c r="L155" s="11">
        <f t="shared" si="27"/>
        <v>544.21819320000009</v>
      </c>
      <c r="M155" s="11">
        <f t="shared" si="19"/>
        <v>0</v>
      </c>
      <c r="N155" s="11">
        <f t="shared" si="20"/>
        <v>486.93206760000015</v>
      </c>
      <c r="O155" s="11">
        <f t="shared" si="21"/>
        <v>0</v>
      </c>
      <c r="P155" s="11">
        <f t="shared" si="22"/>
        <v>441.58055150000007</v>
      </c>
      <c r="Q155" s="11">
        <f t="shared" si="23"/>
        <v>0</v>
      </c>
      <c r="R155" s="531"/>
      <c r="S155" s="415"/>
    </row>
    <row r="156" spans="1:19" s="180" customFormat="1" ht="13.5" thickBot="1">
      <c r="A156" s="1321"/>
      <c r="B156" s="416"/>
      <c r="C156" s="419" t="s">
        <v>1331</v>
      </c>
      <c r="D156" s="420" t="s">
        <v>1332</v>
      </c>
      <c r="E156" s="889">
        <v>3303.3</v>
      </c>
      <c r="F156" s="8">
        <f t="shared" si="24"/>
        <v>1816.8150000000003</v>
      </c>
      <c r="G156" s="10">
        <f t="shared" si="25"/>
        <v>0</v>
      </c>
      <c r="H156" s="11">
        <f t="shared" ref="H156:H163" si="28">F156*0.03137</f>
        <v>56.993486550000014</v>
      </c>
      <c r="I156" s="11">
        <f t="shared" ref="I156:I163" si="29">H156*B156</f>
        <v>0</v>
      </c>
      <c r="J156" s="11">
        <f t="shared" si="26"/>
        <v>49.78073100000001</v>
      </c>
      <c r="K156" s="11">
        <f t="shared" ref="K156:K163" si="30">J156*B156</f>
        <v>0</v>
      </c>
      <c r="L156" s="11">
        <f t="shared" si="27"/>
        <v>41.423382000000011</v>
      </c>
      <c r="M156" s="11">
        <f t="shared" ref="M156:M163" si="31">L156*B156</f>
        <v>0</v>
      </c>
      <c r="N156" s="11">
        <f t="shared" ref="N156:N163" si="32">F156*0.0204</f>
        <v>37.063026000000008</v>
      </c>
      <c r="O156" s="11">
        <f t="shared" ref="O156:O163" si="33">N156*B156</f>
        <v>0</v>
      </c>
      <c r="P156" s="11">
        <f t="shared" ref="P156:P163" si="34">F156*0.0185</f>
        <v>33.6110775</v>
      </c>
      <c r="Q156" s="11">
        <f t="shared" ref="Q156:Q163" si="35">P156*B156</f>
        <v>0</v>
      </c>
      <c r="R156" s="531"/>
      <c r="S156" s="415"/>
    </row>
    <row r="157" spans="1:19" s="180" customFormat="1" ht="13.5" thickBot="1">
      <c r="A157" s="1321"/>
      <c r="B157" s="416"/>
      <c r="C157" s="419" t="s">
        <v>1349</v>
      </c>
      <c r="D157" s="420" t="s">
        <v>1386</v>
      </c>
      <c r="E157" s="889">
        <v>1189.19</v>
      </c>
      <c r="F157" s="8">
        <f t="shared" si="24"/>
        <v>654.05450000000008</v>
      </c>
      <c r="G157" s="10">
        <f t="shared" si="25"/>
        <v>0</v>
      </c>
      <c r="H157" s="11">
        <f t="shared" si="28"/>
        <v>20.517689665000002</v>
      </c>
      <c r="I157" s="11">
        <f t="shared" si="29"/>
        <v>0</v>
      </c>
      <c r="J157" s="11">
        <f t="shared" si="26"/>
        <v>17.921093300000003</v>
      </c>
      <c r="K157" s="11">
        <f t="shared" si="30"/>
        <v>0</v>
      </c>
      <c r="L157" s="11">
        <f t="shared" si="27"/>
        <v>14.912442600000002</v>
      </c>
      <c r="M157" s="11">
        <f t="shared" si="31"/>
        <v>0</v>
      </c>
      <c r="N157" s="11">
        <f t="shared" si="32"/>
        <v>13.342711800000002</v>
      </c>
      <c r="O157" s="11">
        <f t="shared" si="33"/>
        <v>0</v>
      </c>
      <c r="P157" s="11">
        <f t="shared" si="34"/>
        <v>12.10000825</v>
      </c>
      <c r="Q157" s="11">
        <f t="shared" si="35"/>
        <v>0</v>
      </c>
      <c r="R157" s="531"/>
      <c r="S157" s="415"/>
    </row>
    <row r="158" spans="1:19" s="180" customFormat="1" ht="13.5" thickBot="1">
      <c r="A158" s="1321"/>
      <c r="B158" s="416"/>
      <c r="C158" s="417" t="s">
        <v>1265</v>
      </c>
      <c r="D158" s="418" t="s">
        <v>1280</v>
      </c>
      <c r="E158" s="889">
        <v>10828.82</v>
      </c>
      <c r="F158" s="8">
        <f t="shared" si="24"/>
        <v>5955.8510000000006</v>
      </c>
      <c r="G158" s="10">
        <f t="shared" si="25"/>
        <v>0</v>
      </c>
      <c r="H158" s="11">
        <f t="shared" si="28"/>
        <v>186.83504587000002</v>
      </c>
      <c r="I158" s="11">
        <f t="shared" si="29"/>
        <v>0</v>
      </c>
      <c r="J158" s="11">
        <f t="shared" si="26"/>
        <v>163.19031740000003</v>
      </c>
      <c r="K158" s="11">
        <f t="shared" si="30"/>
        <v>0</v>
      </c>
      <c r="L158" s="11">
        <f t="shared" si="27"/>
        <v>135.79340280000002</v>
      </c>
      <c r="M158" s="11">
        <f t="shared" si="31"/>
        <v>0</v>
      </c>
      <c r="N158" s="11">
        <f t="shared" si="32"/>
        <v>121.49936040000001</v>
      </c>
      <c r="O158" s="11">
        <f t="shared" si="33"/>
        <v>0</v>
      </c>
      <c r="P158" s="11">
        <f t="shared" si="34"/>
        <v>110.1832435</v>
      </c>
      <c r="Q158" s="11">
        <f t="shared" si="35"/>
        <v>0</v>
      </c>
      <c r="R158" s="531"/>
      <c r="S158" s="415"/>
    </row>
    <row r="159" spans="1:19" s="180" customFormat="1" ht="13.5" thickBot="1">
      <c r="A159" s="1321"/>
      <c r="B159" s="416"/>
      <c r="C159" s="417" t="s">
        <v>1266</v>
      </c>
      <c r="D159" s="418" t="s">
        <v>1267</v>
      </c>
      <c r="E159" s="889">
        <v>5153.1499999999996</v>
      </c>
      <c r="F159" s="8">
        <f t="shared" si="24"/>
        <v>2834.2325000000001</v>
      </c>
      <c r="G159" s="10">
        <f t="shared" si="25"/>
        <v>0</v>
      </c>
      <c r="H159" s="11">
        <f t="shared" si="28"/>
        <v>88.909873525000009</v>
      </c>
      <c r="I159" s="11">
        <f t="shared" si="29"/>
        <v>0</v>
      </c>
      <c r="J159" s="11">
        <f t="shared" si="26"/>
        <v>77.657970500000005</v>
      </c>
      <c r="K159" s="11">
        <f t="shared" si="30"/>
        <v>0</v>
      </c>
      <c r="L159" s="11">
        <f t="shared" si="27"/>
        <v>64.620501000000004</v>
      </c>
      <c r="M159" s="11">
        <f t="shared" si="31"/>
        <v>0</v>
      </c>
      <c r="N159" s="11">
        <f t="shared" si="32"/>
        <v>57.818343000000006</v>
      </c>
      <c r="O159" s="11">
        <f t="shared" si="33"/>
        <v>0</v>
      </c>
      <c r="P159" s="11">
        <f t="shared" si="34"/>
        <v>52.43330125</v>
      </c>
      <c r="Q159" s="11">
        <f t="shared" si="35"/>
        <v>0</v>
      </c>
      <c r="R159" s="531"/>
      <c r="S159" s="415"/>
    </row>
    <row r="160" spans="1:19" s="180" customFormat="1" ht="13.5" thickBot="1">
      <c r="A160" s="1321"/>
      <c r="B160" s="416"/>
      <c r="C160" s="419" t="s">
        <v>1268</v>
      </c>
      <c r="D160" s="420" t="s">
        <v>1269</v>
      </c>
      <c r="E160" s="889">
        <v>24034.82</v>
      </c>
      <c r="F160" s="8">
        <f t="shared" si="24"/>
        <v>13219.151000000002</v>
      </c>
      <c r="G160" s="10">
        <f t="shared" si="25"/>
        <v>0</v>
      </c>
      <c r="H160" s="11">
        <f t="shared" si="28"/>
        <v>414.68476687000009</v>
      </c>
      <c r="I160" s="11">
        <f t="shared" si="29"/>
        <v>0</v>
      </c>
      <c r="J160" s="11">
        <f t="shared" si="26"/>
        <v>362.20473740000006</v>
      </c>
      <c r="K160" s="11">
        <f t="shared" si="30"/>
        <v>0</v>
      </c>
      <c r="L160" s="11">
        <f t="shared" si="27"/>
        <v>301.39664280000005</v>
      </c>
      <c r="M160" s="11">
        <f t="shared" si="31"/>
        <v>0</v>
      </c>
      <c r="N160" s="11">
        <f t="shared" si="32"/>
        <v>269.67068040000004</v>
      </c>
      <c r="O160" s="11">
        <f t="shared" si="33"/>
        <v>0</v>
      </c>
      <c r="P160" s="11">
        <f t="shared" si="34"/>
        <v>244.55429350000003</v>
      </c>
      <c r="Q160" s="11">
        <f t="shared" si="35"/>
        <v>0</v>
      </c>
      <c r="R160" s="531"/>
      <c r="S160" s="415"/>
    </row>
    <row r="161" spans="1:19" s="180" customFormat="1" ht="13.5" thickBot="1">
      <c r="A161" s="1321"/>
      <c r="B161" s="416"/>
      <c r="C161" s="417" t="s">
        <v>4020</v>
      </c>
      <c r="D161" s="418" t="s">
        <v>1350</v>
      </c>
      <c r="E161" s="889">
        <v>4225.82</v>
      </c>
      <c r="F161" s="8">
        <f t="shared" si="24"/>
        <v>2324.201</v>
      </c>
      <c r="G161" s="10">
        <f t="shared" si="25"/>
        <v>0</v>
      </c>
      <c r="H161" s="11">
        <f t="shared" si="28"/>
        <v>72.910185370000008</v>
      </c>
      <c r="I161" s="11">
        <f t="shared" si="29"/>
        <v>0</v>
      </c>
      <c r="J161" s="11">
        <f t="shared" si="26"/>
        <v>63.683107400000004</v>
      </c>
      <c r="K161" s="11">
        <f t="shared" si="30"/>
        <v>0</v>
      </c>
      <c r="L161" s="11">
        <f t="shared" si="27"/>
        <v>52.991782800000003</v>
      </c>
      <c r="M161" s="11">
        <f t="shared" si="31"/>
        <v>0</v>
      </c>
      <c r="N161" s="11">
        <f t="shared" si="32"/>
        <v>47.413700400000003</v>
      </c>
      <c r="O161" s="11">
        <f t="shared" si="33"/>
        <v>0</v>
      </c>
      <c r="P161" s="11">
        <f t="shared" si="34"/>
        <v>42.997718499999998</v>
      </c>
      <c r="Q161" s="11">
        <f t="shared" si="35"/>
        <v>0</v>
      </c>
      <c r="R161" s="531"/>
      <c r="S161" s="415"/>
    </row>
    <row r="162" spans="1:19" s="180" customFormat="1" ht="13.5" thickBot="1">
      <c r="A162" s="1321"/>
      <c r="B162" s="416"/>
      <c r="C162" s="417" t="s">
        <v>1333</v>
      </c>
      <c r="D162" s="418" t="s">
        <v>1334</v>
      </c>
      <c r="E162" s="889">
        <v>1189.19</v>
      </c>
      <c r="F162" s="8">
        <f t="shared" si="24"/>
        <v>654.05450000000008</v>
      </c>
      <c r="G162" s="10">
        <f t="shared" si="25"/>
        <v>0</v>
      </c>
      <c r="H162" s="11">
        <f t="shared" si="28"/>
        <v>20.517689665000002</v>
      </c>
      <c r="I162" s="11">
        <f t="shared" si="29"/>
        <v>0</v>
      </c>
      <c r="J162" s="11">
        <f t="shared" si="26"/>
        <v>17.921093300000003</v>
      </c>
      <c r="K162" s="11">
        <f t="shared" si="30"/>
        <v>0</v>
      </c>
      <c r="L162" s="11">
        <f t="shared" si="27"/>
        <v>14.912442600000002</v>
      </c>
      <c r="M162" s="11">
        <f t="shared" si="31"/>
        <v>0</v>
      </c>
      <c r="N162" s="11">
        <f t="shared" si="32"/>
        <v>13.342711800000002</v>
      </c>
      <c r="O162" s="11">
        <f t="shared" si="33"/>
        <v>0</v>
      </c>
      <c r="P162" s="11">
        <f t="shared" si="34"/>
        <v>12.10000825</v>
      </c>
      <c r="Q162" s="11">
        <f t="shared" si="35"/>
        <v>0</v>
      </c>
      <c r="R162" s="531"/>
      <c r="S162" s="415"/>
    </row>
    <row r="163" spans="1:19" s="180" customFormat="1" ht="13.5" thickBot="1">
      <c r="A163" s="1321"/>
      <c r="B163" s="416"/>
      <c r="C163" s="419" t="s">
        <v>1335</v>
      </c>
      <c r="D163" s="420" t="s">
        <v>1336</v>
      </c>
      <c r="E163" s="889">
        <v>766.36</v>
      </c>
      <c r="F163" s="8">
        <f t="shared" si="24"/>
        <v>421.49800000000005</v>
      </c>
      <c r="G163" s="10">
        <f t="shared" si="25"/>
        <v>0</v>
      </c>
      <c r="H163" s="11">
        <f t="shared" si="28"/>
        <v>13.222392260000003</v>
      </c>
      <c r="I163" s="11">
        <f t="shared" si="29"/>
        <v>0</v>
      </c>
      <c r="J163" s="11">
        <f t="shared" si="26"/>
        <v>11.549045200000002</v>
      </c>
      <c r="K163" s="11">
        <f t="shared" si="30"/>
        <v>0</v>
      </c>
      <c r="L163" s="11">
        <f t="shared" si="27"/>
        <v>9.6101544000000008</v>
      </c>
      <c r="M163" s="11">
        <f t="shared" si="31"/>
        <v>0</v>
      </c>
      <c r="N163" s="11">
        <f t="shared" si="32"/>
        <v>8.5985592000000022</v>
      </c>
      <c r="O163" s="11">
        <f t="shared" si="33"/>
        <v>0</v>
      </c>
      <c r="P163" s="11">
        <f t="shared" si="34"/>
        <v>7.7977130000000008</v>
      </c>
      <c r="Q163" s="11">
        <f t="shared" si="35"/>
        <v>0</v>
      </c>
      <c r="R163" s="531"/>
      <c r="S163" s="415"/>
    </row>
    <row r="164" spans="1:19" s="421" customFormat="1">
      <c r="A164" s="414"/>
      <c r="D164" s="1303" t="s">
        <v>65</v>
      </c>
      <c r="E164" s="1304"/>
      <c r="F164" s="1305"/>
      <c r="G164" s="51">
        <f>SUM(G32:G163)+G29</f>
        <v>0</v>
      </c>
      <c r="H164" s="178" t="s">
        <v>154</v>
      </c>
      <c r="I164" s="51">
        <f>SUM(I32:I163)+I29</f>
        <v>0</v>
      </c>
      <c r="J164" s="178" t="s">
        <v>155</v>
      </c>
      <c r="K164" s="51">
        <f>SUM(K32:K163)+K29</f>
        <v>0</v>
      </c>
      <c r="L164" s="178" t="s">
        <v>156</v>
      </c>
      <c r="M164" s="51">
        <f>SUM(M32:M163)+M29</f>
        <v>0</v>
      </c>
      <c r="N164" s="178" t="s">
        <v>1337</v>
      </c>
      <c r="O164" s="51">
        <f>SUM(O32:O163)+O29</f>
        <v>0</v>
      </c>
      <c r="P164" s="178" t="s">
        <v>1338</v>
      </c>
      <c r="Q164" s="51">
        <f>SUM(Q32:Q163)+Q29</f>
        <v>0</v>
      </c>
    </row>
    <row r="165" spans="1:19" s="421" customFormat="1" ht="12.75">
      <c r="F165" s="422"/>
      <c r="G165" s="422"/>
      <c r="H165" s="423"/>
    </row>
    <row r="166" spans="1:19" s="421" customFormat="1" ht="12.75">
      <c r="F166" s="422"/>
      <c r="G166" s="422"/>
    </row>
    <row r="167" spans="1:19" s="421" customFormat="1" ht="12.75">
      <c r="F167" s="422"/>
      <c r="G167" s="422"/>
    </row>
    <row r="168" spans="1:19" s="421" customFormat="1" ht="12.75">
      <c r="F168" s="422"/>
      <c r="G168" s="422"/>
    </row>
    <row r="169" spans="1:19" s="421" customFormat="1" ht="12.75">
      <c r="F169" s="422"/>
      <c r="G169" s="422"/>
    </row>
    <row r="170" spans="1:19" s="421" customFormat="1" ht="12.75">
      <c r="F170" s="422"/>
      <c r="G170" s="422"/>
    </row>
    <row r="171" spans="1:19" s="421" customFormat="1" ht="12.75">
      <c r="F171" s="422"/>
      <c r="G171" s="422"/>
    </row>
    <row r="172" spans="1:19" s="421" customFormat="1" ht="12.75">
      <c r="F172" s="422"/>
      <c r="G172" s="422"/>
    </row>
    <row r="173" spans="1:19" s="421" customFormat="1" ht="12.75">
      <c r="F173" s="422"/>
      <c r="G173" s="422"/>
    </row>
    <row r="174" spans="1:19" s="421" customFormat="1" ht="12.75">
      <c r="F174" s="422"/>
      <c r="G174" s="422"/>
    </row>
    <row r="175" spans="1:19" s="421" customFormat="1" ht="12.75">
      <c r="F175" s="422"/>
      <c r="G175" s="422"/>
    </row>
    <row r="176" spans="1:19" s="421" customFormat="1" ht="12.75">
      <c r="F176" s="422"/>
      <c r="G176" s="422"/>
    </row>
    <row r="177" spans="2:7" s="421" customFormat="1" ht="12.75">
      <c r="F177" s="422"/>
      <c r="G177" s="422"/>
    </row>
    <row r="178" spans="2:7" s="421" customFormat="1" ht="12.75">
      <c r="F178" s="422"/>
      <c r="G178" s="422"/>
    </row>
    <row r="179" spans="2:7" s="421" customFormat="1" ht="12.75">
      <c r="F179" s="422"/>
      <c r="G179" s="422"/>
    </row>
    <row r="180" spans="2:7" s="421" customFormat="1" ht="12.75">
      <c r="F180" s="422"/>
      <c r="G180" s="422"/>
    </row>
    <row r="181" spans="2:7" s="421" customFormat="1" ht="12.75">
      <c r="B181" s="179"/>
      <c r="C181" s="179"/>
      <c r="F181" s="422"/>
      <c r="G181" s="422"/>
    </row>
    <row r="182" spans="2:7" s="421" customFormat="1" ht="12.75">
      <c r="F182" s="422"/>
      <c r="G182" s="422"/>
    </row>
    <row r="183" spans="2:7" s="421" customFormat="1" ht="12.75">
      <c r="F183" s="422"/>
      <c r="G183" s="422"/>
    </row>
    <row r="184" spans="2:7" s="421" customFormat="1" ht="12.75">
      <c r="F184" s="422"/>
      <c r="G184" s="422"/>
    </row>
    <row r="185" spans="2:7" s="421" customFormat="1" ht="12.75">
      <c r="F185" s="422"/>
      <c r="G185" s="422"/>
    </row>
    <row r="186" spans="2:7" s="421" customFormat="1" ht="12.75">
      <c r="F186" s="422"/>
      <c r="G186" s="422"/>
    </row>
    <row r="187" spans="2:7" s="421" customFormat="1" ht="12.75">
      <c r="F187" s="422"/>
      <c r="G187" s="422"/>
    </row>
    <row r="188" spans="2:7" s="421" customFormat="1" ht="12.75">
      <c r="F188" s="422"/>
      <c r="G188" s="422"/>
    </row>
    <row r="189" spans="2:7" s="421" customFormat="1" ht="12.75">
      <c r="F189" s="422"/>
      <c r="G189" s="422"/>
    </row>
    <row r="190" spans="2:7" s="421" customFormat="1" ht="12.75">
      <c r="F190" s="422"/>
      <c r="G190" s="422"/>
    </row>
    <row r="191" spans="2:7" s="421" customFormat="1" ht="12.75">
      <c r="F191" s="422"/>
      <c r="G191" s="422"/>
    </row>
    <row r="192" spans="2:7" s="421" customFormat="1" ht="12.75">
      <c r="F192" s="422"/>
      <c r="G192" s="422"/>
    </row>
    <row r="193" spans="6:7" s="421" customFormat="1" ht="12.75">
      <c r="F193" s="422"/>
      <c r="G193" s="422"/>
    </row>
    <row r="194" spans="6:7" s="421" customFormat="1" ht="12.75">
      <c r="F194" s="422"/>
      <c r="G194" s="422"/>
    </row>
    <row r="195" spans="6:7" s="421" customFormat="1" ht="12.75">
      <c r="F195" s="422"/>
      <c r="G195" s="422"/>
    </row>
    <row r="196" spans="6:7" s="421" customFormat="1" ht="12.75">
      <c r="F196" s="422"/>
      <c r="G196" s="422"/>
    </row>
    <row r="197" spans="6:7" s="421" customFormat="1" ht="12.75">
      <c r="F197" s="422"/>
      <c r="G197" s="422"/>
    </row>
    <row r="198" spans="6:7" s="421" customFormat="1" ht="12.75">
      <c r="F198" s="422"/>
      <c r="G198" s="422"/>
    </row>
    <row r="199" spans="6:7" s="421" customFormat="1" ht="12.75">
      <c r="F199" s="422"/>
      <c r="G199" s="422"/>
    </row>
    <row r="200" spans="6:7" s="421" customFormat="1" ht="12.75">
      <c r="F200" s="422"/>
      <c r="G200" s="422"/>
    </row>
    <row r="201" spans="6:7" s="421" customFormat="1" ht="12.75">
      <c r="F201" s="330"/>
      <c r="G201" s="330"/>
    </row>
    <row r="202" spans="6:7" s="421" customFormat="1" ht="12.75">
      <c r="F202" s="330"/>
      <c r="G202" s="330"/>
    </row>
    <row r="203" spans="6:7" s="421" customFormat="1" ht="12.75">
      <c r="F203" s="330"/>
      <c r="G203" s="330"/>
    </row>
    <row r="204" spans="6:7" s="421" customFormat="1" ht="12.75">
      <c r="F204" s="330"/>
      <c r="G204" s="330"/>
    </row>
    <row r="205" spans="6:7" s="421" customFormat="1" ht="12.75">
      <c r="F205" s="330"/>
      <c r="G205" s="330"/>
    </row>
    <row r="206" spans="6:7" s="421" customFormat="1" ht="12.75">
      <c r="F206" s="330"/>
      <c r="G206" s="330"/>
    </row>
    <row r="207" spans="6:7" s="421" customFormat="1" ht="12.75">
      <c r="F207" s="330"/>
      <c r="G207" s="330"/>
    </row>
    <row r="208" spans="6:7" s="421" customFormat="1" ht="12.75">
      <c r="F208" s="330"/>
      <c r="G208" s="330"/>
    </row>
    <row r="209" spans="6:7" s="421" customFormat="1" ht="12.75">
      <c r="F209" s="330"/>
      <c r="G209" s="330"/>
    </row>
    <row r="210" spans="6:7" s="421" customFormat="1" ht="12.75">
      <c r="F210" s="330"/>
      <c r="G210" s="330"/>
    </row>
    <row r="211" spans="6:7" s="421" customFormat="1" ht="12.75">
      <c r="F211" s="330"/>
      <c r="G211" s="330"/>
    </row>
    <row r="212" spans="6:7" s="421" customFormat="1" ht="12.75">
      <c r="F212" s="330"/>
      <c r="G212" s="330"/>
    </row>
    <row r="213" spans="6:7" s="421" customFormat="1" ht="12.75">
      <c r="F213" s="330"/>
      <c r="G213" s="330"/>
    </row>
    <row r="214" spans="6:7" s="421" customFormat="1" ht="12.75">
      <c r="F214" s="330"/>
      <c r="G214" s="330"/>
    </row>
    <row r="215" spans="6:7" s="421" customFormat="1" ht="12.75">
      <c r="F215" s="330"/>
      <c r="G215" s="330"/>
    </row>
    <row r="216" spans="6:7" s="421" customFormat="1" ht="12.75">
      <c r="F216" s="330"/>
      <c r="G216" s="330"/>
    </row>
    <row r="217" spans="6:7" s="421" customFormat="1" ht="12.75">
      <c r="F217" s="330"/>
      <c r="G217" s="330"/>
    </row>
    <row r="218" spans="6:7" s="421" customFormat="1" ht="12.75">
      <c r="F218" s="330"/>
      <c r="G218" s="330"/>
    </row>
    <row r="219" spans="6:7" s="421" customFormat="1" ht="12.75">
      <c r="F219" s="330"/>
      <c r="G219" s="330"/>
    </row>
    <row r="220" spans="6:7" s="421" customFormat="1" ht="12.75">
      <c r="F220" s="330"/>
      <c r="G220" s="330"/>
    </row>
    <row r="221" spans="6:7" s="421" customFormat="1" ht="12.75">
      <c r="F221" s="330"/>
      <c r="G221" s="330"/>
    </row>
    <row r="222" spans="6:7" s="421" customFormat="1" ht="12.75">
      <c r="F222" s="330"/>
      <c r="G222" s="330"/>
    </row>
    <row r="223" spans="6:7" s="421" customFormat="1" ht="12.75">
      <c r="F223" s="330"/>
      <c r="G223" s="330"/>
    </row>
    <row r="224" spans="6:7" s="421" customFormat="1" ht="12.75">
      <c r="F224" s="330"/>
      <c r="G224" s="330"/>
    </row>
    <row r="225" spans="6:7" s="421" customFormat="1" ht="12.75">
      <c r="F225" s="330"/>
      <c r="G225" s="330"/>
    </row>
    <row r="226" spans="6:7" s="421" customFormat="1" ht="12.75">
      <c r="F226" s="330"/>
      <c r="G226" s="330"/>
    </row>
    <row r="227" spans="6:7" s="421" customFormat="1" ht="12.75">
      <c r="F227" s="330"/>
      <c r="G227" s="330"/>
    </row>
    <row r="228" spans="6:7" s="421" customFormat="1" ht="12.75">
      <c r="F228" s="330"/>
      <c r="G228" s="330"/>
    </row>
    <row r="229" spans="6:7" s="421" customFormat="1" ht="12.75">
      <c r="F229" s="330"/>
      <c r="G229" s="330"/>
    </row>
    <row r="230" spans="6:7" s="421" customFormat="1" ht="12.75">
      <c r="F230" s="330"/>
      <c r="G230" s="330"/>
    </row>
    <row r="231" spans="6:7" s="421" customFormat="1" ht="12.75">
      <c r="F231" s="330"/>
      <c r="G231" s="330"/>
    </row>
    <row r="232" spans="6:7" s="421" customFormat="1" ht="12.75">
      <c r="F232" s="330"/>
      <c r="G232" s="330"/>
    </row>
    <row r="233" spans="6:7" s="421" customFormat="1" ht="12.75">
      <c r="F233" s="330"/>
      <c r="G233" s="330"/>
    </row>
    <row r="234" spans="6:7" s="421" customFormat="1" ht="12.75">
      <c r="F234" s="330"/>
      <c r="G234" s="330"/>
    </row>
    <row r="235" spans="6:7" s="421" customFormat="1" ht="12.75">
      <c r="F235" s="330"/>
      <c r="G235" s="330"/>
    </row>
    <row r="236" spans="6:7" s="421" customFormat="1" ht="12.75">
      <c r="F236" s="330"/>
      <c r="G236" s="330"/>
    </row>
    <row r="237" spans="6:7" s="421" customFormat="1" ht="12.75">
      <c r="F237" s="330"/>
      <c r="G237" s="330"/>
    </row>
    <row r="238" spans="6:7" s="421" customFormat="1" ht="12.75">
      <c r="F238" s="330"/>
      <c r="G238" s="330"/>
    </row>
    <row r="239" spans="6:7" s="421" customFormat="1" ht="12.75">
      <c r="F239" s="330"/>
      <c r="G239" s="330"/>
    </row>
    <row r="240" spans="6:7" s="421" customFormat="1" ht="12.75">
      <c r="F240" s="330"/>
      <c r="G240" s="330"/>
    </row>
    <row r="241" spans="6:7" s="421" customFormat="1" ht="12.75">
      <c r="F241" s="330"/>
      <c r="G241" s="330"/>
    </row>
    <row r="242" spans="6:7" s="421" customFormat="1" ht="12.75">
      <c r="F242" s="330"/>
      <c r="G242" s="330"/>
    </row>
    <row r="243" spans="6:7" s="421" customFormat="1" ht="12.75">
      <c r="F243" s="330"/>
      <c r="G243" s="330"/>
    </row>
    <row r="244" spans="6:7" s="421" customFormat="1" ht="12.75">
      <c r="F244" s="330"/>
      <c r="G244" s="330"/>
    </row>
    <row r="245" spans="6:7" s="421" customFormat="1" ht="12.75">
      <c r="F245" s="330"/>
      <c r="G245" s="330"/>
    </row>
    <row r="246" spans="6:7" s="421" customFormat="1" ht="12.75">
      <c r="F246" s="330"/>
      <c r="G246" s="330"/>
    </row>
    <row r="247" spans="6:7" s="421" customFormat="1" ht="12.75">
      <c r="F247" s="330"/>
      <c r="G247" s="330"/>
    </row>
    <row r="248" spans="6:7" s="421" customFormat="1" ht="12.75">
      <c r="F248" s="330"/>
      <c r="G248" s="330"/>
    </row>
    <row r="249" spans="6:7" s="421" customFormat="1" ht="12.75">
      <c r="F249" s="330"/>
      <c r="G249" s="330"/>
    </row>
    <row r="250" spans="6:7" s="421" customFormat="1" ht="12.75">
      <c r="F250" s="330"/>
      <c r="G250" s="330"/>
    </row>
    <row r="251" spans="6:7" s="421" customFormat="1" ht="12.75">
      <c r="F251" s="330"/>
      <c r="G251" s="330"/>
    </row>
    <row r="252" spans="6:7" s="421" customFormat="1" ht="12.75">
      <c r="F252" s="330"/>
      <c r="G252" s="330"/>
    </row>
    <row r="253" spans="6:7" s="421" customFormat="1" ht="12.75">
      <c r="F253" s="330"/>
      <c r="G253" s="330"/>
    </row>
    <row r="254" spans="6:7" s="421" customFormat="1" ht="12.75">
      <c r="F254" s="330"/>
      <c r="G254" s="330"/>
    </row>
    <row r="255" spans="6:7" s="421" customFormat="1" ht="12.75">
      <c r="F255" s="330"/>
      <c r="G255" s="330"/>
    </row>
    <row r="256" spans="6:7" s="421" customFormat="1" ht="12.75">
      <c r="F256" s="330"/>
      <c r="G256" s="330"/>
    </row>
    <row r="257" spans="1:17" s="421" customFormat="1" ht="12.75">
      <c r="F257" s="330"/>
      <c r="G257" s="330"/>
    </row>
    <row r="258" spans="1:17" s="421" customFormat="1" ht="12.75">
      <c r="F258" s="330"/>
      <c r="G258" s="330"/>
    </row>
    <row r="259" spans="1:17" s="421" customFormat="1" ht="12.75">
      <c r="F259" s="330"/>
      <c r="G259" s="330"/>
    </row>
    <row r="260" spans="1:17" s="421" customFormat="1" ht="12.75">
      <c r="F260" s="330"/>
      <c r="G260" s="330"/>
    </row>
    <row r="261" spans="1:17" s="421" customFormat="1" ht="12.75">
      <c r="F261" s="330"/>
      <c r="G261" s="330"/>
    </row>
    <row r="262" spans="1:17" s="421" customFormat="1" ht="12.75">
      <c r="F262" s="330"/>
      <c r="G262" s="330"/>
    </row>
    <row r="263" spans="1:17" s="421" customFormat="1" ht="12.75">
      <c r="F263" s="330"/>
      <c r="G263" s="330"/>
    </row>
    <row r="264" spans="1:17" s="421" customFormat="1" ht="12.75">
      <c r="F264" s="330"/>
      <c r="G264" s="330"/>
    </row>
    <row r="265" spans="1:17">
      <c r="A265" s="421"/>
      <c r="B265" s="421"/>
      <c r="C265" s="421"/>
      <c r="D265" s="421"/>
      <c r="E265" s="421"/>
      <c r="F265" s="330"/>
      <c r="G265" s="330"/>
      <c r="H265" s="421"/>
      <c r="I265" s="421"/>
      <c r="J265" s="421"/>
      <c r="K265" s="421"/>
      <c r="L265" s="421"/>
      <c r="M265" s="421"/>
      <c r="N265" s="421"/>
      <c r="O265" s="421"/>
      <c r="P265" s="421"/>
      <c r="Q265" s="421"/>
    </row>
    <row r="266" spans="1:17">
      <c r="A266" s="421"/>
      <c r="B266" s="421"/>
      <c r="C266" s="421"/>
      <c r="D266" s="421"/>
      <c r="E266" s="421"/>
      <c r="F266" s="330"/>
      <c r="G266" s="330"/>
      <c r="H266" s="421"/>
      <c r="I266" s="421"/>
      <c r="J266" s="421"/>
      <c r="K266" s="421"/>
      <c r="L266" s="421"/>
      <c r="M266" s="421"/>
      <c r="N266" s="421"/>
      <c r="O266" s="421"/>
      <c r="P266" s="421"/>
      <c r="Q266" s="421"/>
    </row>
    <row r="267" spans="1:17">
      <c r="A267" s="421"/>
      <c r="B267" s="421"/>
      <c r="C267" s="421"/>
      <c r="D267" s="421"/>
      <c r="E267" s="421"/>
      <c r="F267" s="330"/>
      <c r="G267" s="330"/>
      <c r="I267" s="421"/>
      <c r="J267" s="421"/>
      <c r="K267" s="421"/>
      <c r="L267" s="421"/>
      <c r="M267" s="421"/>
      <c r="N267" s="421"/>
      <c r="O267" s="421"/>
      <c r="P267" s="421"/>
      <c r="Q267" s="421"/>
    </row>
  </sheetData>
  <mergeCells count="18">
    <mergeCell ref="F27:G27"/>
    <mergeCell ref="H27:Q27"/>
    <mergeCell ref="A4:O4"/>
    <mergeCell ref="A5:O5"/>
    <mergeCell ref="F8:I8"/>
    <mergeCell ref="A23:O23"/>
    <mergeCell ref="A24:O24"/>
    <mergeCell ref="O29:O30"/>
    <mergeCell ref="Q29:Q30"/>
    <mergeCell ref="A31:Q31"/>
    <mergeCell ref="A32:A163"/>
    <mergeCell ref="D164:F164"/>
    <mergeCell ref="A29:A30"/>
    <mergeCell ref="B29:B30"/>
    <mergeCell ref="G29:G30"/>
    <mergeCell ref="I29:I30"/>
    <mergeCell ref="K29:K30"/>
    <mergeCell ref="M29:M30"/>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021D-D2C0-4BDB-BC86-7DC21843080E}">
  <sheetPr>
    <tabColor indexed="62"/>
  </sheetPr>
  <dimension ref="A1:Q264"/>
  <sheetViews>
    <sheetView topLeftCell="A14" zoomScale="82" zoomScaleNormal="82" workbookViewId="0">
      <selection activeCell="D36" sqref="D36"/>
    </sheetView>
  </sheetViews>
  <sheetFormatPr defaultColWidth="8.85546875" defaultRowHeight="15.75"/>
  <cols>
    <col min="1" max="1" width="14" style="139" customWidth="1"/>
    <col min="2" max="2" width="8.7109375" style="139" customWidth="1"/>
    <col min="3" max="3" width="20.7109375" style="139" customWidth="1"/>
    <col min="4" max="4" width="42" style="139" customWidth="1"/>
    <col min="5" max="5" width="17" style="139" customWidth="1"/>
    <col min="6" max="6" width="18.28515625" style="333" customWidth="1"/>
    <col min="7" max="7" width="16" style="333"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315" t="s">
        <v>4099</v>
      </c>
      <c r="B4" s="1020"/>
      <c r="C4" s="1020"/>
      <c r="D4" s="1020"/>
      <c r="E4" s="1020"/>
      <c r="F4" s="1020"/>
      <c r="G4" s="1020"/>
      <c r="H4" s="1020"/>
      <c r="I4" s="1020"/>
      <c r="J4" s="1020"/>
      <c r="K4" s="1020"/>
      <c r="L4" s="1020"/>
      <c r="M4" s="1020"/>
      <c r="N4" s="1020"/>
      <c r="O4" s="1020"/>
    </row>
    <row r="5" spans="1:17" s="149" customFormat="1" ht="46.5" customHeight="1">
      <c r="A5" s="1316" t="s">
        <v>4100</v>
      </c>
      <c r="B5" s="1045"/>
      <c r="C5" s="1045"/>
      <c r="D5" s="1045"/>
      <c r="E5" s="1045"/>
      <c r="F5" s="1045"/>
      <c r="G5" s="1045"/>
      <c r="H5" s="1045"/>
      <c r="I5" s="1045"/>
      <c r="J5" s="1045"/>
      <c r="K5" s="1045"/>
      <c r="L5" s="1045"/>
      <c r="M5" s="1045"/>
      <c r="N5" s="1045"/>
      <c r="O5" s="1045"/>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9" t="s">
        <v>0</v>
      </c>
      <c r="G8" s="1179"/>
      <c r="H8" s="1179"/>
      <c r="I8" s="1322"/>
      <c r="J8" s="139"/>
      <c r="K8" s="139"/>
      <c r="L8" s="139"/>
    </row>
    <row r="9" spans="1:17" s="148" customFormat="1" ht="14.25">
      <c r="C9" s="270"/>
      <c r="D9" s="265"/>
      <c r="F9" s="270" t="s">
        <v>261</v>
      </c>
      <c r="G9" s="265" t="s">
        <v>1356</v>
      </c>
      <c r="H9" s="157"/>
      <c r="I9" s="158"/>
      <c r="J9" s="159"/>
      <c r="L9" s="159"/>
    </row>
    <row r="10" spans="1:17" s="148" customFormat="1" ht="14.25">
      <c r="C10" s="270"/>
      <c r="D10" s="265"/>
      <c r="F10" s="270" t="s">
        <v>7</v>
      </c>
      <c r="G10" s="265" t="s">
        <v>1357</v>
      </c>
      <c r="H10" s="157"/>
      <c r="I10" s="158"/>
      <c r="J10" s="159"/>
      <c r="L10" s="159"/>
    </row>
    <row r="11" spans="1:17" s="148" customFormat="1" ht="14.25">
      <c r="C11" s="270"/>
      <c r="D11" s="265"/>
      <c r="E11" s="160"/>
      <c r="F11" s="270" t="s">
        <v>8</v>
      </c>
      <c r="G11" s="265" t="s">
        <v>1358</v>
      </c>
      <c r="H11" s="157"/>
      <c r="I11" s="158"/>
      <c r="J11" s="159"/>
      <c r="L11" s="159"/>
    </row>
    <row r="12" spans="1:17" s="148" customFormat="1" ht="14.25">
      <c r="C12" s="270"/>
      <c r="D12" s="265"/>
      <c r="F12" s="270" t="s">
        <v>10</v>
      </c>
      <c r="G12" s="265" t="s">
        <v>1359</v>
      </c>
      <c r="H12" s="157"/>
      <c r="I12" s="158"/>
      <c r="J12" s="159"/>
      <c r="L12" s="159"/>
    </row>
    <row r="13" spans="1:17" s="148" customFormat="1" ht="14.25">
      <c r="C13" s="270"/>
      <c r="D13" s="265"/>
      <c r="F13" s="270" t="s">
        <v>409</v>
      </c>
      <c r="G13" s="265" t="s">
        <v>1360</v>
      </c>
      <c r="H13" s="157"/>
      <c r="I13" s="158"/>
      <c r="J13" s="159"/>
      <c r="L13" s="159"/>
    </row>
    <row r="14" spans="1:17" s="265" customFormat="1" ht="14.25">
      <c r="C14" s="270"/>
      <c r="F14" s="270" t="s">
        <v>14</v>
      </c>
      <c r="G14" s="265" t="s">
        <v>272</v>
      </c>
      <c r="H14" s="157"/>
      <c r="I14" s="161"/>
    </row>
    <row r="15" spans="1:17" s="265" customFormat="1" ht="14.25">
      <c r="C15" s="270"/>
      <c r="F15" s="270" t="s">
        <v>18</v>
      </c>
      <c r="G15" s="265" t="s">
        <v>1289</v>
      </c>
      <c r="H15" s="157"/>
      <c r="I15" s="161"/>
    </row>
    <row r="16" spans="1:17" s="148" customFormat="1" ht="14.25">
      <c r="C16" s="270"/>
      <c r="D16" s="265"/>
      <c r="F16" s="270" t="s">
        <v>276</v>
      </c>
      <c r="G16" s="265" t="s">
        <v>1361</v>
      </c>
      <c r="H16" s="157"/>
      <c r="I16" s="161"/>
      <c r="J16" s="162"/>
      <c r="L16" s="162"/>
    </row>
    <row r="17" spans="1:17" s="148" customFormat="1" ht="14.25">
      <c r="C17" s="270"/>
      <c r="D17" s="265"/>
      <c r="F17" s="270" t="s">
        <v>26</v>
      </c>
      <c r="G17" s="265" t="s">
        <v>1362</v>
      </c>
      <c r="H17" s="157"/>
      <c r="I17" s="161"/>
      <c r="J17" s="162"/>
      <c r="L17" s="162"/>
    </row>
    <row r="18" spans="1:17" s="148" customFormat="1" ht="14.25">
      <c r="C18" s="270"/>
      <c r="D18" s="278"/>
      <c r="F18" s="270" t="s">
        <v>28</v>
      </c>
      <c r="G18" s="278" t="s">
        <v>1363</v>
      </c>
      <c r="H18" s="157"/>
      <c r="I18" s="157"/>
      <c r="J18" s="162"/>
      <c r="L18" s="162"/>
    </row>
    <row r="19" spans="1:17" s="265" customFormat="1" ht="15.6" customHeight="1">
      <c r="A19" s="1179" t="s">
        <v>30</v>
      </c>
      <c r="B19" s="1179"/>
      <c r="C19" s="1179"/>
      <c r="D19" s="1179"/>
      <c r="E19" s="1179"/>
      <c r="F19" s="1179"/>
      <c r="G19" s="1179"/>
      <c r="H19" s="1179"/>
      <c r="I19" s="1179"/>
      <c r="J19" s="1179"/>
      <c r="K19" s="1179"/>
      <c r="L19" s="1179"/>
      <c r="M19" s="1179"/>
      <c r="N19" s="1179"/>
      <c r="O19" s="1179"/>
      <c r="P19" s="1179"/>
      <c r="Q19" s="1179"/>
    </row>
    <row r="20" spans="1:17" s="265" customFormat="1" ht="14.25">
      <c r="A20" s="1318" t="s">
        <v>1065</v>
      </c>
      <c r="B20" s="1319"/>
      <c r="C20" s="1319"/>
      <c r="D20" s="1319"/>
      <c r="E20" s="1319"/>
      <c r="F20" s="1319"/>
      <c r="G20" s="1319"/>
      <c r="H20" s="1319"/>
      <c r="I20" s="1319"/>
      <c r="J20" s="1319"/>
      <c r="K20" s="1319"/>
      <c r="L20" s="1319"/>
      <c r="M20" s="1319"/>
      <c r="N20" s="1319"/>
      <c r="O20" s="1319"/>
      <c r="P20" s="1319"/>
      <c r="Q20" s="1319"/>
    </row>
    <row r="21" spans="1:17" s="148" customFormat="1" ht="12.75" customHeight="1">
      <c r="B21" s="164"/>
      <c r="C21" s="164"/>
      <c r="D21" s="165"/>
      <c r="E21" s="165"/>
      <c r="F21" s="166"/>
      <c r="G21" s="166"/>
      <c r="I21" s="149"/>
      <c r="J21" s="149"/>
      <c r="K21" s="149"/>
      <c r="L21" s="149"/>
    </row>
    <row r="22" spans="1:17" s="148" customFormat="1" ht="12.75" customHeight="1" thickBot="1">
      <c r="D22" s="165"/>
      <c r="E22" s="165"/>
      <c r="F22" s="166"/>
      <c r="G22" s="166"/>
      <c r="I22" s="167"/>
      <c r="J22" s="167"/>
      <c r="K22" s="167"/>
      <c r="L22" s="167"/>
    </row>
    <row r="23" spans="1:17" s="148" customFormat="1" ht="15.75" customHeight="1" thickBot="1">
      <c r="F23" s="1021" t="s">
        <v>43</v>
      </c>
      <c r="G23" s="1195"/>
      <c r="H23" s="1312" t="s">
        <v>44</v>
      </c>
      <c r="I23" s="1313"/>
      <c r="J23" s="1313"/>
      <c r="K23" s="1313"/>
      <c r="L23" s="1313"/>
      <c r="M23" s="1313"/>
      <c r="N23" s="1313"/>
      <c r="O23" s="1313"/>
      <c r="P23" s="1313"/>
      <c r="Q23" s="1314"/>
    </row>
    <row r="24" spans="1:17" s="170" customFormat="1" ht="63.75" customHeight="1" thickBot="1">
      <c r="A24" s="168" t="s">
        <v>45</v>
      </c>
      <c r="B24" s="168" t="s">
        <v>46</v>
      </c>
      <c r="C24" s="169" t="s">
        <v>47</v>
      </c>
      <c r="D24" s="169" t="s">
        <v>48</v>
      </c>
      <c r="E24" s="169" t="s">
        <v>49</v>
      </c>
      <c r="F24" s="169" t="s">
        <v>50</v>
      </c>
      <c r="G24" s="168" t="s">
        <v>51</v>
      </c>
      <c r="H24" s="169" t="s">
        <v>53</v>
      </c>
      <c r="I24" s="168" t="s">
        <v>51</v>
      </c>
      <c r="J24" s="169" t="s">
        <v>54</v>
      </c>
      <c r="K24" s="168" t="s">
        <v>51</v>
      </c>
      <c r="L24" s="169" t="s">
        <v>55</v>
      </c>
      <c r="M24" s="168" t="s">
        <v>51</v>
      </c>
      <c r="N24" s="169" t="s">
        <v>847</v>
      </c>
      <c r="O24" s="168" t="s">
        <v>51</v>
      </c>
      <c r="P24" s="169" t="s">
        <v>848</v>
      </c>
      <c r="Q24" s="168" t="s">
        <v>51</v>
      </c>
    </row>
    <row r="25" spans="1:17" s="171" customFormat="1" ht="26.25" customHeight="1" thickBot="1">
      <c r="A25" s="1306" t="s">
        <v>1293</v>
      </c>
      <c r="B25" s="1308"/>
      <c r="C25" s="956" t="s">
        <v>4021</v>
      </c>
      <c r="D25" s="957" t="s">
        <v>4099</v>
      </c>
      <c r="E25" s="958">
        <v>175564.62</v>
      </c>
      <c r="F25" s="28">
        <f>SUM(E25:E26)*(1-51.6%)</f>
        <v>85098.632079999996</v>
      </c>
      <c r="G25" s="1011">
        <f>F25*B25</f>
        <v>0</v>
      </c>
      <c r="H25" s="29">
        <f>F25*0.03137</f>
        <v>2669.5440883495999</v>
      </c>
      <c r="I25" s="1011">
        <f>H25*B25</f>
        <v>0</v>
      </c>
      <c r="J25" s="29">
        <f>F25*0.0274</f>
        <v>2331.702518992</v>
      </c>
      <c r="K25" s="1011">
        <f>J25*B25</f>
        <v>0</v>
      </c>
      <c r="L25" s="410">
        <f>F25*0.0228</f>
        <v>1940.248811424</v>
      </c>
      <c r="M25" s="1011">
        <f>L25*B25</f>
        <v>0</v>
      </c>
      <c r="N25" s="410">
        <f>F25*0.0204</f>
        <v>1736.0120944320001</v>
      </c>
      <c r="O25" s="1011">
        <f>N25*B25</f>
        <v>0</v>
      </c>
      <c r="P25" s="410">
        <f>F25*0.0185</f>
        <v>1574.32469348</v>
      </c>
      <c r="Q25" s="1011">
        <f>P25*B25</f>
        <v>0</v>
      </c>
    </row>
    <row r="26" spans="1:17" s="180" customFormat="1" ht="13.5" customHeight="1" thickBot="1">
      <c r="A26" s="1307"/>
      <c r="B26" s="1309"/>
      <c r="C26" s="411" t="s">
        <v>424</v>
      </c>
      <c r="D26" s="412" t="s">
        <v>57</v>
      </c>
      <c r="E26" s="413">
        <v>259</v>
      </c>
      <c r="F26" s="306" t="s">
        <v>35</v>
      </c>
      <c r="G26" s="1310"/>
      <c r="H26" s="306" t="s">
        <v>35</v>
      </c>
      <c r="I26" s="1310"/>
      <c r="J26" s="306" t="s">
        <v>35</v>
      </c>
      <c r="K26" s="1310"/>
      <c r="L26" s="448" t="s">
        <v>35</v>
      </c>
      <c r="M26" s="1310"/>
      <c r="N26" s="448" t="s">
        <v>35</v>
      </c>
      <c r="O26" s="1326"/>
      <c r="P26" s="448" t="s">
        <v>35</v>
      </c>
      <c r="Q26" s="1326"/>
    </row>
    <row r="27" spans="1:17" s="180" customFormat="1" ht="12.6" customHeight="1" thickBot="1">
      <c r="A27" s="1300" t="s">
        <v>59</v>
      </c>
      <c r="B27" s="1301"/>
      <c r="C27" s="1301"/>
      <c r="D27" s="1301"/>
      <c r="E27" s="1301"/>
      <c r="F27" s="1301"/>
      <c r="G27" s="1301"/>
      <c r="H27" s="1301"/>
      <c r="I27" s="1301"/>
      <c r="J27" s="1301"/>
      <c r="K27" s="1301"/>
      <c r="L27" s="1301"/>
      <c r="M27" s="1301"/>
      <c r="N27" s="1301"/>
      <c r="O27" s="1301"/>
      <c r="P27" s="1301"/>
      <c r="Q27" s="1302"/>
    </row>
    <row r="28" spans="1:17" s="180" customFormat="1" ht="13.5" thickBot="1">
      <c r="A28" s="1327"/>
      <c r="B28" s="431"/>
      <c r="C28" s="890" t="s">
        <v>1398</v>
      </c>
      <c r="D28" s="949" t="s">
        <v>4002</v>
      </c>
      <c r="E28" s="959">
        <v>3439.8</v>
      </c>
      <c r="F28" s="11">
        <f t="shared" ref="F28:F84" si="0">E28*(1-45%)</f>
        <v>1891.8900000000003</v>
      </c>
      <c r="G28" s="54">
        <f t="shared" ref="G28:G84" si="1">F28*B28</f>
        <v>0</v>
      </c>
      <c r="H28" s="11">
        <f t="shared" ref="H28:H84" si="2">F28*0.03137</f>
        <v>59.348589300000015</v>
      </c>
      <c r="I28" s="11">
        <f t="shared" ref="I28:I84" si="3">H28*B28</f>
        <v>0</v>
      </c>
      <c r="J28" s="11">
        <f t="shared" ref="J28:J84" si="4">F28*0.0274</f>
        <v>51.837786000000008</v>
      </c>
      <c r="K28" s="11">
        <f t="shared" ref="K28:K84" si="5">J28*B28</f>
        <v>0</v>
      </c>
      <c r="L28" s="11">
        <f t="shared" ref="L28:L84" si="6">F28*0.0228</f>
        <v>43.135092000000007</v>
      </c>
      <c r="M28" s="11">
        <f t="shared" ref="M28:M84" si="7">L28*B28</f>
        <v>0</v>
      </c>
      <c r="N28" s="11">
        <f t="shared" ref="N28:N84" si="8">F28*0.0204</f>
        <v>38.594556000000011</v>
      </c>
      <c r="O28" s="11">
        <f t="shared" ref="O28:O84" si="9">N28*B28</f>
        <v>0</v>
      </c>
      <c r="P28" s="11">
        <f t="shared" ref="P28:P84" si="10">F28*0.0185</f>
        <v>34.999965000000003</v>
      </c>
      <c r="Q28" s="11">
        <f t="shared" ref="Q28:Q84" si="11">P28*B28</f>
        <v>0</v>
      </c>
    </row>
    <row r="29" spans="1:17" s="180" customFormat="1" ht="13.5" thickBot="1">
      <c r="A29" s="1328"/>
      <c r="B29" s="416"/>
      <c r="C29" s="532" t="s">
        <v>1177</v>
      </c>
      <c r="D29" s="960" t="s">
        <v>3979</v>
      </c>
      <c r="E29" s="172">
        <v>499</v>
      </c>
      <c r="F29" s="52">
        <f t="shared" si="0"/>
        <v>274.45000000000005</v>
      </c>
      <c r="G29" s="53">
        <f t="shared" si="1"/>
        <v>0</v>
      </c>
      <c r="H29" s="52">
        <f t="shared" si="2"/>
        <v>8.6094965000000023</v>
      </c>
      <c r="I29" s="11">
        <f t="shared" si="3"/>
        <v>0</v>
      </c>
      <c r="J29" s="11">
        <f t="shared" si="4"/>
        <v>7.5199300000000013</v>
      </c>
      <c r="K29" s="11">
        <f t="shared" si="5"/>
        <v>0</v>
      </c>
      <c r="L29" s="11">
        <f t="shared" si="6"/>
        <v>6.2574600000000009</v>
      </c>
      <c r="M29" s="11">
        <f t="shared" si="7"/>
        <v>0</v>
      </c>
      <c r="N29" s="11">
        <f t="shared" si="8"/>
        <v>5.5987800000000014</v>
      </c>
      <c r="O29" s="11">
        <f t="shared" si="9"/>
        <v>0</v>
      </c>
      <c r="P29" s="11">
        <f t="shared" si="10"/>
        <v>5.077325000000001</v>
      </c>
      <c r="Q29" s="11">
        <f t="shared" si="11"/>
        <v>0</v>
      </c>
    </row>
    <row r="30" spans="1:17" s="180" customFormat="1" ht="13.5" thickBot="1">
      <c r="A30" s="1328"/>
      <c r="B30" s="416"/>
      <c r="C30" s="532" t="s">
        <v>4022</v>
      </c>
      <c r="D30" s="960" t="s">
        <v>4023</v>
      </c>
      <c r="E30" s="172">
        <v>1945</v>
      </c>
      <c r="F30" s="8">
        <f t="shared" si="0"/>
        <v>1069.75</v>
      </c>
      <c r="G30" s="9">
        <f t="shared" si="1"/>
        <v>0</v>
      </c>
      <c r="H30" s="52">
        <f t="shared" si="2"/>
        <v>33.558057500000004</v>
      </c>
      <c r="I30" s="11">
        <f t="shared" si="3"/>
        <v>0</v>
      </c>
      <c r="J30" s="11">
        <f t="shared" si="4"/>
        <v>29.311150000000001</v>
      </c>
      <c r="K30" s="11">
        <f t="shared" si="5"/>
        <v>0</v>
      </c>
      <c r="L30" s="11">
        <f t="shared" si="6"/>
        <v>24.3903</v>
      </c>
      <c r="M30" s="11">
        <f t="shared" si="7"/>
        <v>0</v>
      </c>
      <c r="N30" s="11">
        <f t="shared" si="8"/>
        <v>21.822900000000001</v>
      </c>
      <c r="O30" s="11">
        <f t="shared" si="9"/>
        <v>0</v>
      </c>
      <c r="P30" s="11">
        <f t="shared" si="10"/>
        <v>19.790374999999997</v>
      </c>
      <c r="Q30" s="11">
        <f t="shared" si="11"/>
        <v>0</v>
      </c>
    </row>
    <row r="31" spans="1:17" s="180" customFormat="1" ht="13.5" thickBot="1">
      <c r="A31" s="1328"/>
      <c r="B31" s="416"/>
      <c r="C31" s="532" t="s">
        <v>4024</v>
      </c>
      <c r="D31" s="960" t="s">
        <v>4025</v>
      </c>
      <c r="E31" s="172">
        <v>5708.58</v>
      </c>
      <c r="F31" s="8">
        <f t="shared" si="0"/>
        <v>3139.7190000000001</v>
      </c>
      <c r="G31" s="9">
        <f t="shared" si="1"/>
        <v>0</v>
      </c>
      <c r="H31" s="52">
        <f t="shared" si="2"/>
        <v>98.492985030000014</v>
      </c>
      <c r="I31" s="11">
        <f t="shared" si="3"/>
        <v>0</v>
      </c>
      <c r="J31" s="11">
        <f t="shared" si="4"/>
        <v>86.028300600000009</v>
      </c>
      <c r="K31" s="11">
        <f t="shared" si="5"/>
        <v>0</v>
      </c>
      <c r="L31" s="11">
        <f t="shared" si="6"/>
        <v>71.585593200000005</v>
      </c>
      <c r="M31" s="11">
        <f t="shared" si="7"/>
        <v>0</v>
      </c>
      <c r="N31" s="11">
        <f t="shared" si="8"/>
        <v>64.050267600000012</v>
      </c>
      <c r="O31" s="11">
        <f t="shared" si="9"/>
        <v>0</v>
      </c>
      <c r="P31" s="11">
        <f t="shared" si="10"/>
        <v>58.084801499999998</v>
      </c>
      <c r="Q31" s="11">
        <f t="shared" si="11"/>
        <v>0</v>
      </c>
    </row>
    <row r="32" spans="1:17" s="180" customFormat="1" ht="13.5" thickBot="1">
      <c r="A32" s="1328"/>
      <c r="B32" s="416"/>
      <c r="C32" s="532" t="s">
        <v>3980</v>
      </c>
      <c r="D32" s="960" t="s">
        <v>3981</v>
      </c>
      <c r="E32" s="172">
        <v>5000</v>
      </c>
      <c r="F32" s="8">
        <f t="shared" si="0"/>
        <v>2750</v>
      </c>
      <c r="G32" s="9">
        <f t="shared" si="1"/>
        <v>0</v>
      </c>
      <c r="H32" s="52">
        <f t="shared" si="2"/>
        <v>86.267500000000013</v>
      </c>
      <c r="I32" s="11">
        <f t="shared" si="3"/>
        <v>0</v>
      </c>
      <c r="J32" s="11">
        <f t="shared" si="4"/>
        <v>75.350000000000009</v>
      </c>
      <c r="K32" s="11">
        <f t="shared" si="5"/>
        <v>0</v>
      </c>
      <c r="L32" s="11">
        <f t="shared" si="6"/>
        <v>62.7</v>
      </c>
      <c r="M32" s="11">
        <f t="shared" si="7"/>
        <v>0</v>
      </c>
      <c r="N32" s="11">
        <f t="shared" si="8"/>
        <v>56.1</v>
      </c>
      <c r="O32" s="11">
        <f t="shared" si="9"/>
        <v>0</v>
      </c>
      <c r="P32" s="11">
        <f t="shared" si="10"/>
        <v>50.875</v>
      </c>
      <c r="Q32" s="11">
        <f t="shared" si="11"/>
        <v>0</v>
      </c>
    </row>
    <row r="33" spans="1:17" s="180" customFormat="1" ht="13.5" thickBot="1">
      <c r="A33" s="1328"/>
      <c r="B33" s="416"/>
      <c r="C33" s="891" t="s">
        <v>105</v>
      </c>
      <c r="D33" s="575" t="s">
        <v>325</v>
      </c>
      <c r="E33" s="174">
        <v>399</v>
      </c>
      <c r="F33" s="52">
        <f t="shared" si="0"/>
        <v>219.45000000000002</v>
      </c>
      <c r="G33" s="53">
        <f t="shared" si="1"/>
        <v>0</v>
      </c>
      <c r="H33" s="52">
        <f t="shared" si="2"/>
        <v>6.8841465000000008</v>
      </c>
      <c r="I33" s="11">
        <f t="shared" si="3"/>
        <v>0</v>
      </c>
      <c r="J33" s="11">
        <f t="shared" si="4"/>
        <v>6.0129300000000008</v>
      </c>
      <c r="K33" s="11">
        <f t="shared" si="5"/>
        <v>0</v>
      </c>
      <c r="L33" s="11">
        <f t="shared" si="6"/>
        <v>5.0034600000000005</v>
      </c>
      <c r="M33" s="11">
        <f t="shared" si="7"/>
        <v>0</v>
      </c>
      <c r="N33" s="11">
        <f t="shared" si="8"/>
        <v>4.4767800000000006</v>
      </c>
      <c r="O33" s="11">
        <f t="shared" si="9"/>
        <v>0</v>
      </c>
      <c r="P33" s="11">
        <f t="shared" si="10"/>
        <v>4.059825</v>
      </c>
      <c r="Q33" s="11">
        <f t="shared" si="11"/>
        <v>0</v>
      </c>
    </row>
    <row r="34" spans="1:17" s="180" customFormat="1" ht="13.5" thickBot="1">
      <c r="A34" s="1328"/>
      <c r="B34" s="416"/>
      <c r="C34" s="532" t="s">
        <v>3982</v>
      </c>
      <c r="D34" s="960" t="s">
        <v>3983</v>
      </c>
      <c r="E34" s="172">
        <v>2800</v>
      </c>
      <c r="F34" s="52">
        <f t="shared" si="0"/>
        <v>1540.0000000000002</v>
      </c>
      <c r="G34" s="53">
        <f t="shared" si="1"/>
        <v>0</v>
      </c>
      <c r="H34" s="52">
        <f t="shared" si="2"/>
        <v>48.30980000000001</v>
      </c>
      <c r="I34" s="11">
        <f t="shared" si="3"/>
        <v>0</v>
      </c>
      <c r="J34" s="11">
        <f t="shared" si="4"/>
        <v>42.196000000000005</v>
      </c>
      <c r="K34" s="11">
        <f t="shared" si="5"/>
        <v>0</v>
      </c>
      <c r="L34" s="11">
        <f t="shared" si="6"/>
        <v>35.112000000000009</v>
      </c>
      <c r="M34" s="11">
        <f t="shared" si="7"/>
        <v>0</v>
      </c>
      <c r="N34" s="11">
        <f t="shared" si="8"/>
        <v>31.416000000000007</v>
      </c>
      <c r="O34" s="11">
        <f t="shared" si="9"/>
        <v>0</v>
      </c>
      <c r="P34" s="11">
        <f t="shared" si="10"/>
        <v>28.490000000000002</v>
      </c>
      <c r="Q34" s="11">
        <f t="shared" si="11"/>
        <v>0</v>
      </c>
    </row>
    <row r="35" spans="1:17" s="180" customFormat="1" ht="13.5" thickBot="1">
      <c r="A35" s="1328"/>
      <c r="B35" s="416"/>
      <c r="C35" s="532" t="s">
        <v>4003</v>
      </c>
      <c r="D35" s="960" t="s">
        <v>4004</v>
      </c>
      <c r="E35" s="172">
        <v>5000</v>
      </c>
      <c r="F35" s="8">
        <f t="shared" si="0"/>
        <v>2750</v>
      </c>
      <c r="G35" s="10">
        <f t="shared" si="1"/>
        <v>0</v>
      </c>
      <c r="H35" s="11">
        <f t="shared" si="2"/>
        <v>86.267500000000013</v>
      </c>
      <c r="I35" s="11">
        <f t="shared" si="3"/>
        <v>0</v>
      </c>
      <c r="J35" s="11">
        <f t="shared" si="4"/>
        <v>75.350000000000009</v>
      </c>
      <c r="K35" s="11">
        <f t="shared" si="5"/>
        <v>0</v>
      </c>
      <c r="L35" s="11">
        <f t="shared" si="6"/>
        <v>62.7</v>
      </c>
      <c r="M35" s="11">
        <f t="shared" si="7"/>
        <v>0</v>
      </c>
      <c r="N35" s="11">
        <f t="shared" si="8"/>
        <v>56.1</v>
      </c>
      <c r="O35" s="11">
        <f t="shared" si="9"/>
        <v>0</v>
      </c>
      <c r="P35" s="11">
        <f t="shared" si="10"/>
        <v>50.875</v>
      </c>
      <c r="Q35" s="11">
        <f t="shared" si="11"/>
        <v>0</v>
      </c>
    </row>
    <row r="36" spans="1:17" s="180" customFormat="1" ht="13.5" thickBot="1">
      <c r="A36" s="1328"/>
      <c r="B36" s="416"/>
      <c r="C36" s="532" t="s">
        <v>1193</v>
      </c>
      <c r="D36" s="960" t="s">
        <v>1194</v>
      </c>
      <c r="E36" s="172">
        <v>13953.14</v>
      </c>
      <c r="F36" s="8">
        <f t="shared" si="0"/>
        <v>7674.2269999999999</v>
      </c>
      <c r="G36" s="9">
        <f t="shared" si="1"/>
        <v>0</v>
      </c>
      <c r="H36" s="52">
        <f t="shared" si="2"/>
        <v>240.74050099000002</v>
      </c>
      <c r="I36" s="11">
        <f t="shared" si="3"/>
        <v>0</v>
      </c>
      <c r="J36" s="11">
        <f t="shared" si="4"/>
        <v>210.27381980000001</v>
      </c>
      <c r="K36" s="11">
        <f t="shared" si="5"/>
        <v>0</v>
      </c>
      <c r="L36" s="11">
        <f t="shared" si="6"/>
        <v>174.97237559999999</v>
      </c>
      <c r="M36" s="11">
        <f t="shared" si="7"/>
        <v>0</v>
      </c>
      <c r="N36" s="11">
        <f t="shared" si="8"/>
        <v>156.5542308</v>
      </c>
      <c r="O36" s="11">
        <f t="shared" si="9"/>
        <v>0</v>
      </c>
      <c r="P36" s="11">
        <f t="shared" si="10"/>
        <v>141.97319949999999</v>
      </c>
      <c r="Q36" s="11">
        <f t="shared" si="11"/>
        <v>0</v>
      </c>
    </row>
    <row r="37" spans="1:17" s="180" customFormat="1" ht="13.5" thickBot="1">
      <c r="A37" s="1328"/>
      <c r="B37" s="873"/>
      <c r="C37" s="891" t="s">
        <v>1197</v>
      </c>
      <c r="D37" s="575" t="s">
        <v>4096</v>
      </c>
      <c r="E37" s="174">
        <v>4436.03</v>
      </c>
      <c r="F37" s="52">
        <f t="shared" si="0"/>
        <v>2439.8164999999999</v>
      </c>
      <c r="G37" s="53">
        <f t="shared" si="1"/>
        <v>0</v>
      </c>
      <c r="H37" s="52">
        <f t="shared" si="2"/>
        <v>76.537043605000008</v>
      </c>
      <c r="I37" s="11">
        <f t="shared" si="3"/>
        <v>0</v>
      </c>
      <c r="J37" s="11">
        <f t="shared" si="4"/>
        <v>66.850972099999993</v>
      </c>
      <c r="K37" s="11">
        <f t="shared" si="5"/>
        <v>0</v>
      </c>
      <c r="L37" s="11">
        <f t="shared" si="6"/>
        <v>55.627816199999998</v>
      </c>
      <c r="M37" s="11">
        <f t="shared" si="7"/>
        <v>0</v>
      </c>
      <c r="N37" s="11">
        <f t="shared" si="8"/>
        <v>49.772256599999999</v>
      </c>
      <c r="O37" s="11">
        <f t="shared" si="9"/>
        <v>0</v>
      </c>
      <c r="P37" s="11">
        <f t="shared" si="10"/>
        <v>45.136605249999995</v>
      </c>
      <c r="Q37" s="11">
        <f t="shared" si="11"/>
        <v>0</v>
      </c>
    </row>
    <row r="38" spans="1:17" s="180" customFormat="1" ht="13.5" thickBot="1">
      <c r="A38" s="1328"/>
      <c r="B38" s="873"/>
      <c r="C38" s="532" t="s">
        <v>1195</v>
      </c>
      <c r="D38" s="960" t="s">
        <v>1196</v>
      </c>
      <c r="E38" s="172">
        <v>3699.7</v>
      </c>
      <c r="F38" s="8">
        <f t="shared" si="0"/>
        <v>2034.835</v>
      </c>
      <c r="G38" s="9">
        <f t="shared" si="1"/>
        <v>0</v>
      </c>
      <c r="H38" s="52">
        <f t="shared" si="2"/>
        <v>63.832773950000004</v>
      </c>
      <c r="I38" s="11">
        <f t="shared" si="3"/>
        <v>0</v>
      </c>
      <c r="J38" s="11">
        <f t="shared" si="4"/>
        <v>55.754479000000003</v>
      </c>
      <c r="K38" s="11">
        <f t="shared" si="5"/>
        <v>0</v>
      </c>
      <c r="L38" s="11">
        <f t="shared" si="6"/>
        <v>46.394238000000001</v>
      </c>
      <c r="M38" s="11">
        <f t="shared" si="7"/>
        <v>0</v>
      </c>
      <c r="N38" s="11">
        <f t="shared" si="8"/>
        <v>41.510634000000003</v>
      </c>
      <c r="O38" s="11">
        <f t="shared" si="9"/>
        <v>0</v>
      </c>
      <c r="P38" s="11">
        <f t="shared" si="10"/>
        <v>37.644447499999998</v>
      </c>
      <c r="Q38" s="11">
        <f t="shared" si="11"/>
        <v>0</v>
      </c>
    </row>
    <row r="39" spans="1:17" s="180" customFormat="1" ht="13.5" thickBot="1">
      <c r="A39" s="1328"/>
      <c r="B39" s="416"/>
      <c r="C39" s="891" t="s">
        <v>1089</v>
      </c>
      <c r="D39" s="575" t="s">
        <v>1090</v>
      </c>
      <c r="E39" s="174">
        <v>3606.97</v>
      </c>
      <c r="F39" s="52">
        <f t="shared" si="0"/>
        <v>1983.8335</v>
      </c>
      <c r="G39" s="53">
        <f t="shared" si="1"/>
        <v>0</v>
      </c>
      <c r="H39" s="52">
        <f t="shared" si="2"/>
        <v>62.232856895000005</v>
      </c>
      <c r="I39" s="11">
        <f t="shared" si="3"/>
        <v>0</v>
      </c>
      <c r="J39" s="11">
        <f t="shared" si="4"/>
        <v>54.357037900000002</v>
      </c>
      <c r="K39" s="11">
        <f t="shared" si="5"/>
        <v>0</v>
      </c>
      <c r="L39" s="11">
        <f t="shared" si="6"/>
        <v>45.231403800000002</v>
      </c>
      <c r="M39" s="11">
        <f t="shared" si="7"/>
        <v>0</v>
      </c>
      <c r="N39" s="11">
        <f t="shared" si="8"/>
        <v>40.470203400000003</v>
      </c>
      <c r="O39" s="11">
        <f t="shared" si="9"/>
        <v>0</v>
      </c>
      <c r="P39" s="11">
        <f t="shared" si="10"/>
        <v>36.700919749999997</v>
      </c>
      <c r="Q39" s="11">
        <f t="shared" si="11"/>
        <v>0</v>
      </c>
    </row>
    <row r="40" spans="1:17" s="180" customFormat="1" ht="13.5" thickBot="1">
      <c r="A40" s="1328"/>
      <c r="B40" s="416"/>
      <c r="C40" s="532" t="s">
        <v>1069</v>
      </c>
      <c r="D40" s="960" t="s">
        <v>1070</v>
      </c>
      <c r="E40" s="174">
        <v>1701.26</v>
      </c>
      <c r="F40" s="52">
        <f t="shared" si="0"/>
        <v>935.6930000000001</v>
      </c>
      <c r="G40" s="53">
        <f t="shared" si="1"/>
        <v>0</v>
      </c>
      <c r="H40" s="52">
        <f t="shared" si="2"/>
        <v>29.352689410000004</v>
      </c>
      <c r="I40" s="11">
        <f t="shared" si="3"/>
        <v>0</v>
      </c>
      <c r="J40" s="11">
        <f t="shared" si="4"/>
        <v>25.637988200000002</v>
      </c>
      <c r="K40" s="11">
        <f t="shared" si="5"/>
        <v>0</v>
      </c>
      <c r="L40" s="11">
        <f t="shared" si="6"/>
        <v>21.333800400000001</v>
      </c>
      <c r="M40" s="11">
        <f t="shared" si="7"/>
        <v>0</v>
      </c>
      <c r="N40" s="11">
        <f t="shared" si="8"/>
        <v>19.088137200000002</v>
      </c>
      <c r="O40" s="11">
        <f t="shared" si="9"/>
        <v>0</v>
      </c>
      <c r="P40" s="11">
        <f t="shared" si="10"/>
        <v>17.3103205</v>
      </c>
      <c r="Q40" s="11">
        <f t="shared" si="11"/>
        <v>0</v>
      </c>
    </row>
    <row r="41" spans="1:17" s="180" customFormat="1" ht="13.5" thickBot="1">
      <c r="A41" s="1328"/>
      <c r="B41" s="416"/>
      <c r="C41" s="532" t="s">
        <v>1095</v>
      </c>
      <c r="D41" s="960" t="s">
        <v>1096</v>
      </c>
      <c r="E41" s="172">
        <v>4637.54</v>
      </c>
      <c r="F41" s="8">
        <f t="shared" si="0"/>
        <v>2550.6470000000004</v>
      </c>
      <c r="G41" s="9">
        <f t="shared" si="1"/>
        <v>0</v>
      </c>
      <c r="H41" s="52">
        <f t="shared" si="2"/>
        <v>80.013796390000024</v>
      </c>
      <c r="I41" s="11">
        <f t="shared" si="3"/>
        <v>0</v>
      </c>
      <c r="J41" s="11">
        <f t="shared" si="4"/>
        <v>69.887727800000008</v>
      </c>
      <c r="K41" s="11">
        <f t="shared" si="5"/>
        <v>0</v>
      </c>
      <c r="L41" s="11">
        <f t="shared" si="6"/>
        <v>58.154751600000012</v>
      </c>
      <c r="M41" s="11">
        <f t="shared" si="7"/>
        <v>0</v>
      </c>
      <c r="N41" s="11">
        <f t="shared" si="8"/>
        <v>52.033198800000015</v>
      </c>
      <c r="O41" s="11">
        <f t="shared" si="9"/>
        <v>0</v>
      </c>
      <c r="P41" s="11">
        <f t="shared" si="10"/>
        <v>47.186969500000004</v>
      </c>
      <c r="Q41" s="11">
        <f t="shared" si="11"/>
        <v>0</v>
      </c>
    </row>
    <row r="42" spans="1:17" s="180" customFormat="1" ht="13.5" thickBot="1">
      <c r="A42" s="1328"/>
      <c r="B42" s="416"/>
      <c r="C42" s="532" t="s">
        <v>1083</v>
      </c>
      <c r="D42" s="960" t="s">
        <v>1084</v>
      </c>
      <c r="E42" s="172">
        <v>1422.19</v>
      </c>
      <c r="F42" s="52">
        <f t="shared" si="0"/>
        <v>782.20450000000005</v>
      </c>
      <c r="G42" s="53">
        <f t="shared" si="1"/>
        <v>0</v>
      </c>
      <c r="H42" s="52">
        <f t="shared" si="2"/>
        <v>24.537755165000004</v>
      </c>
      <c r="I42" s="11">
        <f t="shared" si="3"/>
        <v>0</v>
      </c>
      <c r="J42" s="11">
        <f t="shared" si="4"/>
        <v>21.432403300000001</v>
      </c>
      <c r="K42" s="11">
        <f t="shared" si="5"/>
        <v>0</v>
      </c>
      <c r="L42" s="11">
        <f t="shared" si="6"/>
        <v>17.834262600000002</v>
      </c>
      <c r="M42" s="11">
        <f t="shared" si="7"/>
        <v>0</v>
      </c>
      <c r="N42" s="11">
        <f t="shared" si="8"/>
        <v>15.956971800000002</v>
      </c>
      <c r="O42" s="11">
        <f t="shared" si="9"/>
        <v>0</v>
      </c>
      <c r="P42" s="11">
        <f t="shared" si="10"/>
        <v>14.47078325</v>
      </c>
      <c r="Q42" s="11">
        <f t="shared" si="11"/>
        <v>0</v>
      </c>
    </row>
    <row r="43" spans="1:17" s="180" customFormat="1" ht="13.5" thickBot="1">
      <c r="A43" s="1328"/>
      <c r="B43" s="416"/>
      <c r="C43" s="532" t="s">
        <v>1071</v>
      </c>
      <c r="D43" s="960" t="s">
        <v>1072</v>
      </c>
      <c r="E43" s="172">
        <v>1701.26</v>
      </c>
      <c r="F43" s="8">
        <f t="shared" si="0"/>
        <v>935.6930000000001</v>
      </c>
      <c r="G43" s="9">
        <f t="shared" si="1"/>
        <v>0</v>
      </c>
      <c r="H43" s="52">
        <f t="shared" si="2"/>
        <v>29.352689410000004</v>
      </c>
      <c r="I43" s="11">
        <f t="shared" si="3"/>
        <v>0</v>
      </c>
      <c r="J43" s="11">
        <f t="shared" si="4"/>
        <v>25.637988200000002</v>
      </c>
      <c r="K43" s="11">
        <f t="shared" si="5"/>
        <v>0</v>
      </c>
      <c r="L43" s="11">
        <f t="shared" si="6"/>
        <v>21.333800400000001</v>
      </c>
      <c r="M43" s="11">
        <f t="shared" si="7"/>
        <v>0</v>
      </c>
      <c r="N43" s="11">
        <f t="shared" si="8"/>
        <v>19.088137200000002</v>
      </c>
      <c r="O43" s="11">
        <f t="shared" si="9"/>
        <v>0</v>
      </c>
      <c r="P43" s="11">
        <f t="shared" si="10"/>
        <v>17.3103205</v>
      </c>
      <c r="Q43" s="11">
        <f t="shared" si="11"/>
        <v>0</v>
      </c>
    </row>
    <row r="44" spans="1:17" s="180" customFormat="1" ht="13.5" thickBot="1">
      <c r="A44" s="1328"/>
      <c r="B44" s="416"/>
      <c r="C44" s="532" t="s">
        <v>1085</v>
      </c>
      <c r="D44" s="960" t="s">
        <v>1086</v>
      </c>
      <c r="E44" s="172">
        <v>1545.83</v>
      </c>
      <c r="F44" s="52">
        <f t="shared" si="0"/>
        <v>850.20650000000001</v>
      </c>
      <c r="G44" s="53">
        <f t="shared" si="1"/>
        <v>0</v>
      </c>
      <c r="H44" s="52">
        <f t="shared" si="2"/>
        <v>26.670977905000001</v>
      </c>
      <c r="I44" s="11">
        <f t="shared" si="3"/>
        <v>0</v>
      </c>
      <c r="J44" s="11">
        <f t="shared" si="4"/>
        <v>23.295658100000001</v>
      </c>
      <c r="K44" s="11">
        <f t="shared" si="5"/>
        <v>0</v>
      </c>
      <c r="L44" s="11">
        <f t="shared" si="6"/>
        <v>19.384708200000002</v>
      </c>
      <c r="M44" s="11">
        <f t="shared" si="7"/>
        <v>0</v>
      </c>
      <c r="N44" s="11">
        <f t="shared" si="8"/>
        <v>17.344212600000002</v>
      </c>
      <c r="O44" s="11">
        <f t="shared" si="9"/>
        <v>0</v>
      </c>
      <c r="P44" s="11">
        <f t="shared" si="10"/>
        <v>15.72882025</v>
      </c>
      <c r="Q44" s="11">
        <f t="shared" si="11"/>
        <v>0</v>
      </c>
    </row>
    <row r="45" spans="1:17" s="180" customFormat="1" ht="13.5" thickBot="1">
      <c r="A45" s="1328"/>
      <c r="B45" s="416"/>
      <c r="C45" s="532" t="s">
        <v>1073</v>
      </c>
      <c r="D45" s="960" t="s">
        <v>1074</v>
      </c>
      <c r="E45" s="174">
        <v>1701.26</v>
      </c>
      <c r="F45" s="52">
        <f t="shared" si="0"/>
        <v>935.6930000000001</v>
      </c>
      <c r="G45" s="54">
        <f t="shared" si="1"/>
        <v>0</v>
      </c>
      <c r="H45" s="11">
        <f t="shared" si="2"/>
        <v>29.352689410000004</v>
      </c>
      <c r="I45" s="11">
        <f t="shared" si="3"/>
        <v>0</v>
      </c>
      <c r="J45" s="11">
        <f t="shared" si="4"/>
        <v>25.637988200000002</v>
      </c>
      <c r="K45" s="11">
        <f t="shared" si="5"/>
        <v>0</v>
      </c>
      <c r="L45" s="11">
        <f t="shared" si="6"/>
        <v>21.333800400000001</v>
      </c>
      <c r="M45" s="11">
        <f t="shared" si="7"/>
        <v>0</v>
      </c>
      <c r="N45" s="11">
        <f t="shared" si="8"/>
        <v>19.088137200000002</v>
      </c>
      <c r="O45" s="11">
        <f t="shared" si="9"/>
        <v>0</v>
      </c>
      <c r="P45" s="11">
        <f t="shared" si="10"/>
        <v>17.3103205</v>
      </c>
      <c r="Q45" s="11">
        <f t="shared" si="11"/>
        <v>0</v>
      </c>
    </row>
    <row r="46" spans="1:17" s="180" customFormat="1" ht="13.5" thickBot="1">
      <c r="A46" s="1328"/>
      <c r="B46" s="416"/>
      <c r="C46" s="796" t="s">
        <v>1087</v>
      </c>
      <c r="D46" s="961" t="s">
        <v>1088</v>
      </c>
      <c r="E46" s="177">
        <v>1545.83</v>
      </c>
      <c r="F46" s="8">
        <f t="shared" si="0"/>
        <v>850.20650000000001</v>
      </c>
      <c r="G46" s="9">
        <f t="shared" si="1"/>
        <v>0</v>
      </c>
      <c r="H46" s="52">
        <f t="shared" si="2"/>
        <v>26.670977905000001</v>
      </c>
      <c r="I46" s="11">
        <f t="shared" si="3"/>
        <v>0</v>
      </c>
      <c r="J46" s="11">
        <f t="shared" si="4"/>
        <v>23.295658100000001</v>
      </c>
      <c r="K46" s="11">
        <f t="shared" si="5"/>
        <v>0</v>
      </c>
      <c r="L46" s="11">
        <f t="shared" si="6"/>
        <v>19.384708200000002</v>
      </c>
      <c r="M46" s="11">
        <f t="shared" si="7"/>
        <v>0</v>
      </c>
      <c r="N46" s="11">
        <f t="shared" si="8"/>
        <v>17.344212600000002</v>
      </c>
      <c r="O46" s="11">
        <f t="shared" si="9"/>
        <v>0</v>
      </c>
      <c r="P46" s="11">
        <f t="shared" si="10"/>
        <v>15.72882025</v>
      </c>
      <c r="Q46" s="11">
        <f t="shared" si="11"/>
        <v>0</v>
      </c>
    </row>
    <row r="47" spans="1:17" s="180" customFormat="1" ht="13.5" thickBot="1">
      <c r="A47" s="1328"/>
      <c r="B47" s="873"/>
      <c r="C47" s="891" t="s">
        <v>1079</v>
      </c>
      <c r="D47" s="575" t="s">
        <v>1080</v>
      </c>
      <c r="E47" s="174">
        <v>1545.83</v>
      </c>
      <c r="F47" s="52">
        <f t="shared" si="0"/>
        <v>850.20650000000001</v>
      </c>
      <c r="G47" s="53">
        <f t="shared" si="1"/>
        <v>0</v>
      </c>
      <c r="H47" s="52">
        <f t="shared" si="2"/>
        <v>26.670977905000001</v>
      </c>
      <c r="I47" s="11">
        <f t="shared" si="3"/>
        <v>0</v>
      </c>
      <c r="J47" s="11">
        <f t="shared" si="4"/>
        <v>23.295658100000001</v>
      </c>
      <c r="K47" s="11">
        <f t="shared" si="5"/>
        <v>0</v>
      </c>
      <c r="L47" s="11">
        <f t="shared" si="6"/>
        <v>19.384708200000002</v>
      </c>
      <c r="M47" s="11">
        <f t="shared" si="7"/>
        <v>0</v>
      </c>
      <c r="N47" s="11">
        <f t="shared" si="8"/>
        <v>17.344212600000002</v>
      </c>
      <c r="O47" s="11">
        <f t="shared" si="9"/>
        <v>0</v>
      </c>
      <c r="P47" s="11">
        <f t="shared" si="10"/>
        <v>15.72882025</v>
      </c>
      <c r="Q47" s="11">
        <f t="shared" si="11"/>
        <v>0</v>
      </c>
    </row>
    <row r="48" spans="1:17" s="180" customFormat="1" ht="13.5" thickBot="1">
      <c r="A48" s="1328"/>
      <c r="B48" s="873"/>
      <c r="C48" s="532" t="s">
        <v>1075</v>
      </c>
      <c r="D48" s="960" t="s">
        <v>1076</v>
      </c>
      <c r="E48" s="172">
        <v>1545.83</v>
      </c>
      <c r="F48" s="8">
        <f t="shared" si="0"/>
        <v>850.20650000000001</v>
      </c>
      <c r="G48" s="9">
        <f t="shared" si="1"/>
        <v>0</v>
      </c>
      <c r="H48" s="52">
        <f t="shared" si="2"/>
        <v>26.670977905000001</v>
      </c>
      <c r="I48" s="11">
        <f t="shared" si="3"/>
        <v>0</v>
      </c>
      <c r="J48" s="11">
        <f t="shared" si="4"/>
        <v>23.295658100000001</v>
      </c>
      <c r="K48" s="11">
        <f t="shared" si="5"/>
        <v>0</v>
      </c>
      <c r="L48" s="11">
        <f t="shared" si="6"/>
        <v>19.384708200000002</v>
      </c>
      <c r="M48" s="11">
        <f t="shared" si="7"/>
        <v>0</v>
      </c>
      <c r="N48" s="11">
        <f t="shared" si="8"/>
        <v>17.344212600000002</v>
      </c>
      <c r="O48" s="11">
        <f t="shared" si="9"/>
        <v>0</v>
      </c>
      <c r="P48" s="11">
        <f t="shared" si="10"/>
        <v>15.72882025</v>
      </c>
      <c r="Q48" s="11">
        <f t="shared" si="11"/>
        <v>0</v>
      </c>
    </row>
    <row r="49" spans="1:17" s="180" customFormat="1" ht="13.5" thickBot="1">
      <c r="A49" s="1328"/>
      <c r="B49" s="873"/>
      <c r="C49" s="891" t="s">
        <v>1097</v>
      </c>
      <c r="D49" s="575" t="s">
        <v>1098</v>
      </c>
      <c r="E49" s="174">
        <v>2679.44</v>
      </c>
      <c r="F49" s="52">
        <f>E49*(1-45%)</f>
        <v>1473.6920000000002</v>
      </c>
      <c r="G49" s="53">
        <f>F49*B49</f>
        <v>0</v>
      </c>
      <c r="H49" s="52">
        <f>F49*0.03137</f>
        <v>46.229718040000009</v>
      </c>
      <c r="I49" s="11">
        <f>H49*B49</f>
        <v>0</v>
      </c>
      <c r="J49" s="11">
        <f>F49*0.0274</f>
        <v>40.379160800000008</v>
      </c>
      <c r="K49" s="11">
        <f>J49*B49</f>
        <v>0</v>
      </c>
      <c r="L49" s="11">
        <f>F49*0.0228</f>
        <v>33.600177600000009</v>
      </c>
      <c r="M49" s="11">
        <f>L49*B49</f>
        <v>0</v>
      </c>
      <c r="N49" s="11">
        <f>F49*0.0204</f>
        <v>30.063316800000006</v>
      </c>
      <c r="O49" s="11">
        <f>N49*B49</f>
        <v>0</v>
      </c>
      <c r="P49" s="11">
        <f>F49*0.0185</f>
        <v>27.263302000000003</v>
      </c>
      <c r="Q49" s="11">
        <f>P49*B49</f>
        <v>0</v>
      </c>
    </row>
    <row r="50" spans="1:17" s="180" customFormat="1" ht="13.5" thickBot="1">
      <c r="A50" s="1328"/>
      <c r="B50" s="873"/>
      <c r="C50" s="891" t="s">
        <v>1077</v>
      </c>
      <c r="D50" s="575" t="s">
        <v>1078</v>
      </c>
      <c r="E50" s="174">
        <v>1545.83</v>
      </c>
      <c r="F50" s="52">
        <f>E50*(1-45%)</f>
        <v>850.20650000000001</v>
      </c>
      <c r="G50" s="53">
        <f>F50*B50</f>
        <v>0</v>
      </c>
      <c r="H50" s="52">
        <f>F50*0.03137</f>
        <v>26.670977905000001</v>
      </c>
      <c r="I50" s="11">
        <f>H50*B50</f>
        <v>0</v>
      </c>
      <c r="J50" s="11">
        <f>F50*0.0274</f>
        <v>23.295658100000001</v>
      </c>
      <c r="K50" s="11">
        <f>J50*B50</f>
        <v>0</v>
      </c>
      <c r="L50" s="11">
        <f>F50*0.0228</f>
        <v>19.384708200000002</v>
      </c>
      <c r="M50" s="11">
        <f>L50*B50</f>
        <v>0</v>
      </c>
      <c r="N50" s="11">
        <f>F50*0.0204</f>
        <v>17.344212600000002</v>
      </c>
      <c r="O50" s="11">
        <f>N50*B50</f>
        <v>0</v>
      </c>
      <c r="P50" s="11">
        <f>F50*0.0185</f>
        <v>15.72882025</v>
      </c>
      <c r="Q50" s="11">
        <f>P50*B50</f>
        <v>0</v>
      </c>
    </row>
    <row r="51" spans="1:17" s="180" customFormat="1" ht="13.5" thickBot="1">
      <c r="A51" s="1328"/>
      <c r="B51" s="873"/>
      <c r="C51" s="891" t="s">
        <v>1099</v>
      </c>
      <c r="D51" s="575" t="s">
        <v>1100</v>
      </c>
      <c r="E51" s="174">
        <v>5152.8100000000004</v>
      </c>
      <c r="F51" s="52">
        <f t="shared" si="0"/>
        <v>2834.0455000000006</v>
      </c>
      <c r="G51" s="53">
        <f t="shared" si="1"/>
        <v>0</v>
      </c>
      <c r="H51" s="52">
        <f t="shared" si="2"/>
        <v>88.904007335000031</v>
      </c>
      <c r="I51" s="11">
        <f t="shared" si="3"/>
        <v>0</v>
      </c>
      <c r="J51" s="11">
        <f t="shared" si="4"/>
        <v>77.652846700000026</v>
      </c>
      <c r="K51" s="11">
        <f t="shared" si="5"/>
        <v>0</v>
      </c>
      <c r="L51" s="11">
        <f t="shared" si="6"/>
        <v>64.616237400000017</v>
      </c>
      <c r="M51" s="11">
        <f t="shared" si="7"/>
        <v>0</v>
      </c>
      <c r="N51" s="11">
        <f t="shared" si="8"/>
        <v>57.814528200000019</v>
      </c>
      <c r="O51" s="11">
        <f t="shared" si="9"/>
        <v>0</v>
      </c>
      <c r="P51" s="11">
        <f t="shared" si="10"/>
        <v>52.429841750000008</v>
      </c>
      <c r="Q51" s="11">
        <f t="shared" si="11"/>
        <v>0</v>
      </c>
    </row>
    <row r="52" spans="1:17" s="180" customFormat="1" ht="13.5" thickBot="1">
      <c r="A52" s="1328"/>
      <c r="B52" s="873"/>
      <c r="C52" s="891" t="s">
        <v>1091</v>
      </c>
      <c r="D52" s="575" t="s">
        <v>1092</v>
      </c>
      <c r="E52" s="174">
        <v>1648.89</v>
      </c>
      <c r="F52" s="52">
        <f t="shared" si="0"/>
        <v>906.88950000000011</v>
      </c>
      <c r="G52" s="53">
        <f t="shared" si="1"/>
        <v>0</v>
      </c>
      <c r="H52" s="52">
        <f t="shared" si="2"/>
        <v>28.449123615000005</v>
      </c>
      <c r="I52" s="11">
        <f t="shared" si="3"/>
        <v>0</v>
      </c>
      <c r="J52" s="11">
        <f t="shared" si="4"/>
        <v>24.848772300000004</v>
      </c>
      <c r="K52" s="11">
        <f t="shared" si="5"/>
        <v>0</v>
      </c>
      <c r="L52" s="11">
        <f t="shared" si="6"/>
        <v>20.677080600000004</v>
      </c>
      <c r="M52" s="11">
        <f t="shared" si="7"/>
        <v>0</v>
      </c>
      <c r="N52" s="11">
        <f t="shared" si="8"/>
        <v>18.500545800000005</v>
      </c>
      <c r="O52" s="11">
        <f t="shared" si="9"/>
        <v>0</v>
      </c>
      <c r="P52" s="11">
        <f t="shared" si="10"/>
        <v>16.777455750000001</v>
      </c>
      <c r="Q52" s="11">
        <f t="shared" si="11"/>
        <v>0</v>
      </c>
    </row>
    <row r="53" spans="1:17" s="180" customFormat="1" ht="13.5" thickBot="1">
      <c r="A53" s="1328"/>
      <c r="B53" s="873"/>
      <c r="C53" s="891" t="s">
        <v>1093</v>
      </c>
      <c r="D53" s="575" t="s">
        <v>1094</v>
      </c>
      <c r="E53" s="174">
        <v>1648.89</v>
      </c>
      <c r="F53" s="52">
        <f t="shared" si="0"/>
        <v>906.88950000000011</v>
      </c>
      <c r="G53" s="53">
        <f t="shared" si="1"/>
        <v>0</v>
      </c>
      <c r="H53" s="52">
        <f t="shared" si="2"/>
        <v>28.449123615000005</v>
      </c>
      <c r="I53" s="11">
        <f t="shared" si="3"/>
        <v>0</v>
      </c>
      <c r="J53" s="11">
        <f t="shared" si="4"/>
        <v>24.848772300000004</v>
      </c>
      <c r="K53" s="11">
        <f t="shared" si="5"/>
        <v>0</v>
      </c>
      <c r="L53" s="11">
        <f t="shared" si="6"/>
        <v>20.677080600000004</v>
      </c>
      <c r="M53" s="11">
        <f t="shared" si="7"/>
        <v>0</v>
      </c>
      <c r="N53" s="11">
        <f t="shared" si="8"/>
        <v>18.500545800000005</v>
      </c>
      <c r="O53" s="11">
        <f t="shared" si="9"/>
        <v>0</v>
      </c>
      <c r="P53" s="11">
        <f t="shared" si="10"/>
        <v>16.777455750000001</v>
      </c>
      <c r="Q53" s="11">
        <f t="shared" si="11"/>
        <v>0</v>
      </c>
    </row>
    <row r="54" spans="1:17" s="180" customFormat="1" ht="13.5" thickBot="1">
      <c r="A54" s="1328"/>
      <c r="B54" s="873"/>
      <c r="C54" s="532" t="s">
        <v>1161</v>
      </c>
      <c r="D54" s="960" t="s">
        <v>1162</v>
      </c>
      <c r="E54" s="172">
        <v>4159.99</v>
      </c>
      <c r="F54" s="52">
        <f t="shared" si="0"/>
        <v>2287.9945000000002</v>
      </c>
      <c r="G54" s="54">
        <f t="shared" si="1"/>
        <v>0</v>
      </c>
      <c r="H54" s="11">
        <f t="shared" si="2"/>
        <v>71.774387465000018</v>
      </c>
      <c r="I54" s="11">
        <f t="shared" si="3"/>
        <v>0</v>
      </c>
      <c r="J54" s="11">
        <f t="shared" si="4"/>
        <v>62.69104930000001</v>
      </c>
      <c r="K54" s="11">
        <f t="shared" si="5"/>
        <v>0</v>
      </c>
      <c r="L54" s="11">
        <f t="shared" si="6"/>
        <v>52.166274600000008</v>
      </c>
      <c r="M54" s="11">
        <f t="shared" si="7"/>
        <v>0</v>
      </c>
      <c r="N54" s="11">
        <f t="shared" si="8"/>
        <v>46.675087800000007</v>
      </c>
      <c r="O54" s="11">
        <f t="shared" si="9"/>
        <v>0</v>
      </c>
      <c r="P54" s="11">
        <f t="shared" si="10"/>
        <v>42.327898250000004</v>
      </c>
      <c r="Q54" s="11">
        <f t="shared" si="11"/>
        <v>0</v>
      </c>
    </row>
    <row r="55" spans="1:17" s="180" customFormat="1" ht="13.5" thickBot="1">
      <c r="A55" s="1328"/>
      <c r="B55" s="873"/>
      <c r="C55" s="532" t="s">
        <v>1165</v>
      </c>
      <c r="D55" s="960" t="s">
        <v>1166</v>
      </c>
      <c r="E55" s="172">
        <v>3690.62</v>
      </c>
      <c r="F55" s="52">
        <f t="shared" si="0"/>
        <v>2029.8410000000001</v>
      </c>
      <c r="G55" s="54">
        <f t="shared" si="1"/>
        <v>0</v>
      </c>
      <c r="H55" s="11">
        <f t="shared" si="2"/>
        <v>63.67611217000001</v>
      </c>
      <c r="I55" s="11">
        <f t="shared" si="3"/>
        <v>0</v>
      </c>
      <c r="J55" s="11">
        <f t="shared" si="4"/>
        <v>55.617643400000006</v>
      </c>
      <c r="K55" s="11">
        <f t="shared" si="5"/>
        <v>0</v>
      </c>
      <c r="L55" s="11">
        <f t="shared" si="6"/>
        <v>46.280374800000004</v>
      </c>
      <c r="M55" s="11">
        <f t="shared" si="7"/>
        <v>0</v>
      </c>
      <c r="N55" s="11">
        <f t="shared" si="8"/>
        <v>41.408756400000009</v>
      </c>
      <c r="O55" s="11">
        <f t="shared" si="9"/>
        <v>0</v>
      </c>
      <c r="P55" s="11">
        <f t="shared" si="10"/>
        <v>37.552058500000001</v>
      </c>
      <c r="Q55" s="11">
        <f t="shared" si="11"/>
        <v>0</v>
      </c>
    </row>
    <row r="56" spans="1:17" s="180" customFormat="1" ht="13.5" thickBot="1">
      <c r="A56" s="1328"/>
      <c r="B56" s="873"/>
      <c r="C56" s="532" t="s">
        <v>1163</v>
      </c>
      <c r="D56" s="960" t="s">
        <v>1164</v>
      </c>
      <c r="E56" s="172">
        <v>3690.62</v>
      </c>
      <c r="F56" s="52">
        <f t="shared" si="0"/>
        <v>2029.8410000000001</v>
      </c>
      <c r="G56" s="54">
        <f t="shared" si="1"/>
        <v>0</v>
      </c>
      <c r="H56" s="11">
        <f t="shared" si="2"/>
        <v>63.67611217000001</v>
      </c>
      <c r="I56" s="11">
        <f t="shared" si="3"/>
        <v>0</v>
      </c>
      <c r="J56" s="11">
        <f t="shared" si="4"/>
        <v>55.617643400000006</v>
      </c>
      <c r="K56" s="11">
        <f t="shared" si="5"/>
        <v>0</v>
      </c>
      <c r="L56" s="11">
        <f t="shared" si="6"/>
        <v>46.280374800000004</v>
      </c>
      <c r="M56" s="11">
        <f t="shared" si="7"/>
        <v>0</v>
      </c>
      <c r="N56" s="11">
        <f t="shared" si="8"/>
        <v>41.408756400000009</v>
      </c>
      <c r="O56" s="11">
        <f t="shared" si="9"/>
        <v>0</v>
      </c>
      <c r="P56" s="11">
        <f t="shared" si="10"/>
        <v>37.552058500000001</v>
      </c>
      <c r="Q56" s="11">
        <f t="shared" si="11"/>
        <v>0</v>
      </c>
    </row>
    <row r="57" spans="1:17" s="180" customFormat="1" ht="13.5" thickBot="1">
      <c r="A57" s="1328"/>
      <c r="B57" s="873"/>
      <c r="C57" s="532" t="s">
        <v>1081</v>
      </c>
      <c r="D57" s="960" t="s">
        <v>1082</v>
      </c>
      <c r="E57" s="174">
        <v>1628.26</v>
      </c>
      <c r="F57" s="52">
        <f t="shared" si="0"/>
        <v>895.54300000000012</v>
      </c>
      <c r="G57" s="54">
        <f t="shared" si="1"/>
        <v>0</v>
      </c>
      <c r="H57" s="11">
        <f t="shared" si="2"/>
        <v>28.093183910000004</v>
      </c>
      <c r="I57" s="11">
        <f t="shared" si="3"/>
        <v>0</v>
      </c>
      <c r="J57" s="11">
        <f t="shared" si="4"/>
        <v>24.537878200000005</v>
      </c>
      <c r="K57" s="11">
        <f t="shared" si="5"/>
        <v>0</v>
      </c>
      <c r="L57" s="11">
        <f t="shared" si="6"/>
        <v>20.418380400000004</v>
      </c>
      <c r="M57" s="11">
        <f t="shared" si="7"/>
        <v>0</v>
      </c>
      <c r="N57" s="11">
        <f t="shared" si="8"/>
        <v>18.269077200000005</v>
      </c>
      <c r="O57" s="11">
        <f t="shared" si="9"/>
        <v>0</v>
      </c>
      <c r="P57" s="11">
        <f t="shared" si="10"/>
        <v>16.567545500000001</v>
      </c>
      <c r="Q57" s="11">
        <f t="shared" si="11"/>
        <v>0</v>
      </c>
    </row>
    <row r="58" spans="1:17" s="180" customFormat="1" ht="13.5" thickBot="1">
      <c r="A58" s="1328"/>
      <c r="B58" s="873"/>
      <c r="C58" s="891" t="s">
        <v>4026</v>
      </c>
      <c r="D58" s="575" t="s">
        <v>4027</v>
      </c>
      <c r="E58" s="174">
        <v>2366.46</v>
      </c>
      <c r="F58" s="52">
        <f t="shared" si="0"/>
        <v>1301.5530000000001</v>
      </c>
      <c r="G58" s="54">
        <f t="shared" si="1"/>
        <v>0</v>
      </c>
      <c r="H58" s="11">
        <f t="shared" si="2"/>
        <v>40.829717610000003</v>
      </c>
      <c r="I58" s="11">
        <f t="shared" si="3"/>
        <v>0</v>
      </c>
      <c r="J58" s="11">
        <f t="shared" si="4"/>
        <v>35.662552200000007</v>
      </c>
      <c r="K58" s="11">
        <f t="shared" si="5"/>
        <v>0</v>
      </c>
      <c r="L58" s="11">
        <f t="shared" si="6"/>
        <v>29.675408400000002</v>
      </c>
      <c r="M58" s="11">
        <f t="shared" si="7"/>
        <v>0</v>
      </c>
      <c r="N58" s="11">
        <f t="shared" si="8"/>
        <v>26.551681200000004</v>
      </c>
      <c r="O58" s="11">
        <f t="shared" si="9"/>
        <v>0</v>
      </c>
      <c r="P58" s="11">
        <f t="shared" si="10"/>
        <v>24.078730500000002</v>
      </c>
      <c r="Q58" s="11">
        <f t="shared" si="11"/>
        <v>0</v>
      </c>
    </row>
    <row r="59" spans="1:17" s="180" customFormat="1" ht="13.5" thickBot="1">
      <c r="A59" s="1328"/>
      <c r="B59" s="873"/>
      <c r="C59" s="532" t="s">
        <v>1364</v>
      </c>
      <c r="D59" s="960" t="s">
        <v>1365</v>
      </c>
      <c r="E59" s="172">
        <v>6606.6</v>
      </c>
      <c r="F59" s="52">
        <f t="shared" si="0"/>
        <v>3633.6300000000006</v>
      </c>
      <c r="G59" s="54">
        <f t="shared" si="1"/>
        <v>0</v>
      </c>
      <c r="H59" s="11">
        <f t="shared" si="2"/>
        <v>113.98697310000003</v>
      </c>
      <c r="I59" s="11">
        <f t="shared" si="3"/>
        <v>0</v>
      </c>
      <c r="J59" s="11">
        <f t="shared" si="4"/>
        <v>99.56146200000002</v>
      </c>
      <c r="K59" s="11">
        <f t="shared" si="5"/>
        <v>0</v>
      </c>
      <c r="L59" s="11">
        <f t="shared" si="6"/>
        <v>82.846764000000022</v>
      </c>
      <c r="M59" s="11">
        <f t="shared" si="7"/>
        <v>0</v>
      </c>
      <c r="N59" s="11">
        <f t="shared" si="8"/>
        <v>74.126052000000016</v>
      </c>
      <c r="O59" s="11">
        <f t="shared" si="9"/>
        <v>0</v>
      </c>
      <c r="P59" s="11">
        <f t="shared" si="10"/>
        <v>67.222155000000001</v>
      </c>
      <c r="Q59" s="11">
        <f t="shared" si="11"/>
        <v>0</v>
      </c>
    </row>
    <row r="60" spans="1:17" s="180" customFormat="1" ht="13.5" thickBot="1">
      <c r="A60" s="1328"/>
      <c r="B60" s="873"/>
      <c r="C60" s="532">
        <v>45204557</v>
      </c>
      <c r="D60" s="960" t="s">
        <v>4005</v>
      </c>
      <c r="E60" s="172">
        <v>12589.5</v>
      </c>
      <c r="F60" s="52">
        <f t="shared" si="0"/>
        <v>6924.2250000000004</v>
      </c>
      <c r="G60" s="54">
        <f t="shared" si="1"/>
        <v>0</v>
      </c>
      <c r="H60" s="11">
        <f t="shared" si="2"/>
        <v>217.21293825000004</v>
      </c>
      <c r="I60" s="11">
        <f t="shared" si="3"/>
        <v>0</v>
      </c>
      <c r="J60" s="11">
        <f t="shared" si="4"/>
        <v>189.72376500000001</v>
      </c>
      <c r="K60" s="11">
        <f t="shared" si="5"/>
        <v>0</v>
      </c>
      <c r="L60" s="11">
        <f t="shared" si="6"/>
        <v>157.87233000000001</v>
      </c>
      <c r="M60" s="11">
        <f t="shared" si="7"/>
        <v>0</v>
      </c>
      <c r="N60" s="11">
        <f t="shared" si="8"/>
        <v>141.25419000000002</v>
      </c>
      <c r="O60" s="11">
        <f t="shared" si="9"/>
        <v>0</v>
      </c>
      <c r="P60" s="11">
        <f t="shared" si="10"/>
        <v>128.0981625</v>
      </c>
      <c r="Q60" s="11">
        <f t="shared" si="11"/>
        <v>0</v>
      </c>
    </row>
    <row r="61" spans="1:17" s="180" customFormat="1" ht="13.5" thickBot="1">
      <c r="A61" s="1328"/>
      <c r="B61" s="873"/>
      <c r="C61" s="532">
        <v>45204332</v>
      </c>
      <c r="D61" s="960" t="s">
        <v>4006</v>
      </c>
      <c r="E61" s="172">
        <v>14175</v>
      </c>
      <c r="F61" s="52">
        <f t="shared" si="0"/>
        <v>7796.2500000000009</v>
      </c>
      <c r="G61" s="53">
        <f t="shared" si="1"/>
        <v>0</v>
      </c>
      <c r="H61" s="52">
        <f t="shared" si="2"/>
        <v>244.56836250000003</v>
      </c>
      <c r="I61" s="11">
        <f t="shared" si="3"/>
        <v>0</v>
      </c>
      <c r="J61" s="11">
        <f t="shared" si="4"/>
        <v>213.61725000000004</v>
      </c>
      <c r="K61" s="11">
        <f t="shared" si="5"/>
        <v>0</v>
      </c>
      <c r="L61" s="11">
        <f t="shared" si="6"/>
        <v>177.75450000000004</v>
      </c>
      <c r="M61" s="11">
        <f t="shared" si="7"/>
        <v>0</v>
      </c>
      <c r="N61" s="11">
        <f t="shared" si="8"/>
        <v>159.04350000000002</v>
      </c>
      <c r="O61" s="11">
        <f t="shared" si="9"/>
        <v>0</v>
      </c>
      <c r="P61" s="11">
        <f t="shared" si="10"/>
        <v>144.230625</v>
      </c>
      <c r="Q61" s="11">
        <f t="shared" si="11"/>
        <v>0</v>
      </c>
    </row>
    <row r="62" spans="1:17" s="180" customFormat="1" ht="13.5" thickBot="1">
      <c r="A62" s="1328"/>
      <c r="B62" s="873"/>
      <c r="C62" s="532" t="s">
        <v>1121</v>
      </c>
      <c r="D62" s="960" t="s">
        <v>1122</v>
      </c>
      <c r="E62" s="172">
        <v>154.84</v>
      </c>
      <c r="F62" s="52">
        <f t="shared" si="0"/>
        <v>85.162000000000006</v>
      </c>
      <c r="G62" s="53">
        <f t="shared" si="1"/>
        <v>0</v>
      </c>
      <c r="H62" s="52">
        <f t="shared" si="2"/>
        <v>2.6715319400000004</v>
      </c>
      <c r="I62" s="11">
        <f t="shared" si="3"/>
        <v>0</v>
      </c>
      <c r="J62" s="11">
        <f t="shared" si="4"/>
        <v>2.3334388000000001</v>
      </c>
      <c r="K62" s="11">
        <f t="shared" si="5"/>
        <v>0</v>
      </c>
      <c r="L62" s="11">
        <f t="shared" si="6"/>
        <v>1.9416936000000002</v>
      </c>
      <c r="M62" s="11">
        <f t="shared" si="7"/>
        <v>0</v>
      </c>
      <c r="N62" s="11">
        <f t="shared" si="8"/>
        <v>1.7373048000000002</v>
      </c>
      <c r="O62" s="11">
        <f t="shared" si="9"/>
        <v>0</v>
      </c>
      <c r="P62" s="11">
        <f t="shared" si="10"/>
        <v>1.5754969999999999</v>
      </c>
      <c r="Q62" s="11">
        <f t="shared" si="11"/>
        <v>0</v>
      </c>
    </row>
    <row r="63" spans="1:17" s="180" customFormat="1" ht="13.5" thickBot="1">
      <c r="A63" s="1328"/>
      <c r="B63" s="873"/>
      <c r="C63" s="532" t="s">
        <v>1111</v>
      </c>
      <c r="D63" s="960" t="s">
        <v>1112</v>
      </c>
      <c r="E63" s="172">
        <v>142.6</v>
      </c>
      <c r="F63" s="52">
        <f t="shared" si="0"/>
        <v>78.430000000000007</v>
      </c>
      <c r="G63" s="53">
        <f t="shared" si="1"/>
        <v>0</v>
      </c>
      <c r="H63" s="52">
        <f t="shared" si="2"/>
        <v>2.4603491000000002</v>
      </c>
      <c r="I63" s="11">
        <f t="shared" si="3"/>
        <v>0</v>
      </c>
      <c r="J63" s="11">
        <f t="shared" si="4"/>
        <v>2.1489820000000002</v>
      </c>
      <c r="K63" s="11">
        <f t="shared" si="5"/>
        <v>0</v>
      </c>
      <c r="L63" s="11">
        <f t="shared" si="6"/>
        <v>1.7882040000000001</v>
      </c>
      <c r="M63" s="11">
        <f t="shared" si="7"/>
        <v>0</v>
      </c>
      <c r="N63" s="11">
        <f t="shared" si="8"/>
        <v>1.5999720000000002</v>
      </c>
      <c r="O63" s="11">
        <f t="shared" si="9"/>
        <v>0</v>
      </c>
      <c r="P63" s="11">
        <f t="shared" si="10"/>
        <v>1.450955</v>
      </c>
      <c r="Q63" s="11">
        <f t="shared" si="11"/>
        <v>0</v>
      </c>
    </row>
    <row r="64" spans="1:17" s="180" customFormat="1" ht="13.5" thickBot="1">
      <c r="A64" s="1328"/>
      <c r="B64" s="873"/>
      <c r="C64" s="891" t="s">
        <v>1101</v>
      </c>
      <c r="D64" s="575" t="s">
        <v>1102</v>
      </c>
      <c r="E64" s="174">
        <v>141.21</v>
      </c>
      <c r="F64" s="52">
        <f t="shared" si="0"/>
        <v>77.665500000000009</v>
      </c>
      <c r="G64" s="53">
        <f t="shared" si="1"/>
        <v>0</v>
      </c>
      <c r="H64" s="52">
        <f t="shared" si="2"/>
        <v>2.4363667350000004</v>
      </c>
      <c r="I64" s="11">
        <f t="shared" si="3"/>
        <v>0</v>
      </c>
      <c r="J64" s="11">
        <f t="shared" si="4"/>
        <v>2.1280347000000002</v>
      </c>
      <c r="K64" s="11">
        <f t="shared" si="5"/>
        <v>0</v>
      </c>
      <c r="L64" s="11">
        <f t="shared" si="6"/>
        <v>1.7707734000000002</v>
      </c>
      <c r="M64" s="11">
        <f t="shared" si="7"/>
        <v>0</v>
      </c>
      <c r="N64" s="11">
        <f t="shared" si="8"/>
        <v>1.5843762000000003</v>
      </c>
      <c r="O64" s="11">
        <f t="shared" si="9"/>
        <v>0</v>
      </c>
      <c r="P64" s="11">
        <f t="shared" si="10"/>
        <v>1.4368117500000002</v>
      </c>
      <c r="Q64" s="11">
        <f t="shared" si="11"/>
        <v>0</v>
      </c>
    </row>
    <row r="65" spans="1:17" s="180" customFormat="1" ht="13.5" thickBot="1">
      <c r="A65" s="1328"/>
      <c r="B65" s="416"/>
      <c r="C65" s="532" t="s">
        <v>1103</v>
      </c>
      <c r="D65" s="960" t="s">
        <v>1104</v>
      </c>
      <c r="E65" s="172">
        <v>122.89</v>
      </c>
      <c r="F65" s="8">
        <f t="shared" si="0"/>
        <v>67.589500000000001</v>
      </c>
      <c r="G65" s="9">
        <f t="shared" si="1"/>
        <v>0</v>
      </c>
      <c r="H65" s="52">
        <f t="shared" si="2"/>
        <v>2.1202826150000003</v>
      </c>
      <c r="I65" s="11">
        <f t="shared" si="3"/>
        <v>0</v>
      </c>
      <c r="J65" s="11">
        <f t="shared" si="4"/>
        <v>1.8519523</v>
      </c>
      <c r="K65" s="11">
        <f t="shared" si="5"/>
        <v>0</v>
      </c>
      <c r="L65" s="11">
        <f t="shared" si="6"/>
        <v>1.5410406000000001</v>
      </c>
      <c r="M65" s="11">
        <f t="shared" si="7"/>
        <v>0</v>
      </c>
      <c r="N65" s="11">
        <f t="shared" si="8"/>
        <v>1.3788258000000002</v>
      </c>
      <c r="O65" s="11">
        <f t="shared" si="9"/>
        <v>0</v>
      </c>
      <c r="P65" s="11">
        <f t="shared" si="10"/>
        <v>1.2504057499999999</v>
      </c>
      <c r="Q65" s="11">
        <f t="shared" si="11"/>
        <v>0</v>
      </c>
    </row>
    <row r="66" spans="1:17" s="180" customFormat="1" ht="13.5" thickBot="1">
      <c r="A66" s="1328"/>
      <c r="B66" s="416"/>
      <c r="C66" s="532" t="s">
        <v>1113</v>
      </c>
      <c r="D66" s="960" t="s">
        <v>1114</v>
      </c>
      <c r="E66" s="172">
        <v>124.08</v>
      </c>
      <c r="F66" s="52">
        <f t="shared" si="0"/>
        <v>68.244</v>
      </c>
      <c r="G66" s="53">
        <f t="shared" si="1"/>
        <v>0</v>
      </c>
      <c r="H66" s="52">
        <f t="shared" si="2"/>
        <v>2.1408142800000003</v>
      </c>
      <c r="I66" s="11">
        <f t="shared" si="3"/>
        <v>0</v>
      </c>
      <c r="J66" s="11">
        <f t="shared" si="4"/>
        <v>1.8698856000000001</v>
      </c>
      <c r="K66" s="11">
        <f t="shared" si="5"/>
        <v>0</v>
      </c>
      <c r="L66" s="11">
        <f t="shared" si="6"/>
        <v>1.5559632000000001</v>
      </c>
      <c r="M66" s="11">
        <f t="shared" si="7"/>
        <v>0</v>
      </c>
      <c r="N66" s="11">
        <f t="shared" si="8"/>
        <v>1.3921776000000001</v>
      </c>
      <c r="O66" s="11">
        <f t="shared" si="9"/>
        <v>0</v>
      </c>
      <c r="P66" s="11">
        <f t="shared" si="10"/>
        <v>1.2625139999999999</v>
      </c>
      <c r="Q66" s="11">
        <f t="shared" si="11"/>
        <v>0</v>
      </c>
    </row>
    <row r="67" spans="1:17" s="180" customFormat="1" ht="13.5" thickBot="1">
      <c r="A67" s="1328"/>
      <c r="B67" s="416"/>
      <c r="C67" s="532" t="s">
        <v>1107</v>
      </c>
      <c r="D67" s="960" t="s">
        <v>1108</v>
      </c>
      <c r="E67" s="172">
        <v>111.45</v>
      </c>
      <c r="F67" s="52">
        <f t="shared" si="0"/>
        <v>61.297500000000007</v>
      </c>
      <c r="G67" s="53">
        <f t="shared" si="1"/>
        <v>0</v>
      </c>
      <c r="H67" s="52">
        <f t="shared" si="2"/>
        <v>1.9229025750000004</v>
      </c>
      <c r="I67" s="11">
        <f t="shared" si="3"/>
        <v>0</v>
      </c>
      <c r="J67" s="11">
        <f t="shared" si="4"/>
        <v>1.6795515000000003</v>
      </c>
      <c r="K67" s="11">
        <f t="shared" si="5"/>
        <v>0</v>
      </c>
      <c r="L67" s="11">
        <f t="shared" si="6"/>
        <v>1.3975830000000002</v>
      </c>
      <c r="M67" s="11">
        <f t="shared" si="7"/>
        <v>0</v>
      </c>
      <c r="N67" s="11">
        <f t="shared" si="8"/>
        <v>1.2504690000000003</v>
      </c>
      <c r="O67" s="11">
        <f t="shared" si="9"/>
        <v>0</v>
      </c>
      <c r="P67" s="11">
        <f t="shared" si="10"/>
        <v>1.13400375</v>
      </c>
      <c r="Q67" s="11">
        <f t="shared" si="11"/>
        <v>0</v>
      </c>
    </row>
    <row r="68" spans="1:17" s="180" customFormat="1" ht="13.5" thickBot="1">
      <c r="A68" s="1328"/>
      <c r="B68" s="416"/>
      <c r="C68" s="532" t="s">
        <v>1123</v>
      </c>
      <c r="D68" s="960" t="s">
        <v>1124</v>
      </c>
      <c r="E68" s="172">
        <v>134.54</v>
      </c>
      <c r="F68" s="52">
        <f t="shared" si="0"/>
        <v>73.997</v>
      </c>
      <c r="G68" s="53">
        <f t="shared" si="1"/>
        <v>0</v>
      </c>
      <c r="H68" s="52">
        <f t="shared" si="2"/>
        <v>2.32128589</v>
      </c>
      <c r="I68" s="11">
        <f t="shared" si="3"/>
        <v>0</v>
      </c>
      <c r="J68" s="11">
        <f t="shared" si="4"/>
        <v>2.0275178</v>
      </c>
      <c r="K68" s="11">
        <f t="shared" si="5"/>
        <v>0</v>
      </c>
      <c r="L68" s="11">
        <f t="shared" si="6"/>
        <v>1.6871316000000001</v>
      </c>
      <c r="M68" s="11">
        <f t="shared" si="7"/>
        <v>0</v>
      </c>
      <c r="N68" s="11">
        <f t="shared" si="8"/>
        <v>1.5095388000000001</v>
      </c>
      <c r="O68" s="11">
        <f t="shared" si="9"/>
        <v>0</v>
      </c>
      <c r="P68" s="11">
        <f t="shared" si="10"/>
        <v>1.3689445</v>
      </c>
      <c r="Q68" s="11">
        <f t="shared" si="11"/>
        <v>0</v>
      </c>
    </row>
    <row r="69" spans="1:17" s="180" customFormat="1" ht="13.5" thickBot="1">
      <c r="A69" s="1328"/>
      <c r="B69" s="416"/>
      <c r="C69" s="532" t="s">
        <v>1105</v>
      </c>
      <c r="D69" s="960" t="s">
        <v>1106</v>
      </c>
      <c r="E69" s="172">
        <v>113.74</v>
      </c>
      <c r="F69" s="52">
        <f t="shared" si="0"/>
        <v>62.557000000000002</v>
      </c>
      <c r="G69" s="54">
        <f t="shared" si="1"/>
        <v>0</v>
      </c>
      <c r="H69" s="11">
        <f t="shared" si="2"/>
        <v>1.9624130900000003</v>
      </c>
      <c r="I69" s="11">
        <f t="shared" si="3"/>
        <v>0</v>
      </c>
      <c r="J69" s="11">
        <f t="shared" si="4"/>
        <v>1.7140618000000001</v>
      </c>
      <c r="K69" s="11">
        <f t="shared" si="5"/>
        <v>0</v>
      </c>
      <c r="L69" s="11">
        <f t="shared" si="6"/>
        <v>1.4262996000000001</v>
      </c>
      <c r="M69" s="11">
        <f t="shared" si="7"/>
        <v>0</v>
      </c>
      <c r="N69" s="11">
        <f t="shared" si="8"/>
        <v>1.2761628</v>
      </c>
      <c r="O69" s="11">
        <f t="shared" si="9"/>
        <v>0</v>
      </c>
      <c r="P69" s="11">
        <f t="shared" si="10"/>
        <v>1.1573045</v>
      </c>
      <c r="Q69" s="11">
        <f t="shared" si="11"/>
        <v>0</v>
      </c>
    </row>
    <row r="70" spans="1:17" s="180" customFormat="1" ht="13.5" thickBot="1">
      <c r="A70" s="1328"/>
      <c r="B70" s="416"/>
      <c r="C70" s="532" t="s">
        <v>1125</v>
      </c>
      <c r="D70" s="960" t="s">
        <v>1126</v>
      </c>
      <c r="E70" s="172">
        <v>124.34</v>
      </c>
      <c r="F70" s="52">
        <f t="shared" si="0"/>
        <v>68.387</v>
      </c>
      <c r="G70" s="53">
        <f t="shared" si="1"/>
        <v>0</v>
      </c>
      <c r="H70" s="52">
        <f t="shared" si="2"/>
        <v>2.1453001899999999</v>
      </c>
      <c r="I70" s="11">
        <f t="shared" si="3"/>
        <v>0</v>
      </c>
      <c r="J70" s="11">
        <f t="shared" si="4"/>
        <v>1.8738038000000001</v>
      </c>
      <c r="K70" s="11">
        <f t="shared" si="5"/>
        <v>0</v>
      </c>
      <c r="L70" s="11">
        <f t="shared" si="6"/>
        <v>1.5592236000000002</v>
      </c>
      <c r="M70" s="11">
        <f t="shared" si="7"/>
        <v>0</v>
      </c>
      <c r="N70" s="11">
        <f t="shared" si="8"/>
        <v>1.3950948000000001</v>
      </c>
      <c r="O70" s="11">
        <f t="shared" si="9"/>
        <v>0</v>
      </c>
      <c r="P70" s="11">
        <f t="shared" si="10"/>
        <v>1.2651595</v>
      </c>
      <c r="Q70" s="11">
        <f t="shared" si="11"/>
        <v>0</v>
      </c>
    </row>
    <row r="71" spans="1:17" s="180" customFormat="1" ht="13.5" thickBot="1">
      <c r="A71" s="1328"/>
      <c r="B71" s="873"/>
      <c r="C71" s="796" t="s">
        <v>1115</v>
      </c>
      <c r="D71" s="961" t="s">
        <v>1116</v>
      </c>
      <c r="E71" s="177">
        <v>118.33</v>
      </c>
      <c r="F71" s="8">
        <f t="shared" si="0"/>
        <v>65.081500000000005</v>
      </c>
      <c r="G71" s="9">
        <f t="shared" si="1"/>
        <v>0</v>
      </c>
      <c r="H71" s="52">
        <f t="shared" si="2"/>
        <v>2.0416066550000003</v>
      </c>
      <c r="I71" s="11">
        <f t="shared" si="3"/>
        <v>0</v>
      </c>
      <c r="J71" s="11">
        <f t="shared" si="4"/>
        <v>1.7832331000000001</v>
      </c>
      <c r="K71" s="11">
        <f t="shared" si="5"/>
        <v>0</v>
      </c>
      <c r="L71" s="11">
        <f t="shared" si="6"/>
        <v>1.4838582000000002</v>
      </c>
      <c r="M71" s="11">
        <f t="shared" si="7"/>
        <v>0</v>
      </c>
      <c r="N71" s="11">
        <f t="shared" si="8"/>
        <v>1.3276626000000002</v>
      </c>
      <c r="O71" s="11">
        <f t="shared" si="9"/>
        <v>0</v>
      </c>
      <c r="P71" s="11">
        <f t="shared" si="10"/>
        <v>1.2040077499999999</v>
      </c>
      <c r="Q71" s="11">
        <f t="shared" si="11"/>
        <v>0</v>
      </c>
    </row>
    <row r="72" spans="1:17" s="180" customFormat="1" ht="13.5" thickBot="1">
      <c r="A72" s="1328"/>
      <c r="B72" s="873"/>
      <c r="C72" s="532" t="s">
        <v>1127</v>
      </c>
      <c r="D72" s="960" t="s">
        <v>1128</v>
      </c>
      <c r="E72" s="172">
        <v>122.49</v>
      </c>
      <c r="F72" s="8">
        <f t="shared" si="0"/>
        <v>67.369500000000002</v>
      </c>
      <c r="G72" s="9">
        <f t="shared" si="1"/>
        <v>0</v>
      </c>
      <c r="H72" s="52">
        <f t="shared" si="2"/>
        <v>2.1133812150000004</v>
      </c>
      <c r="I72" s="11">
        <f t="shared" si="3"/>
        <v>0</v>
      </c>
      <c r="J72" s="11">
        <f t="shared" si="4"/>
        <v>1.8459243000000001</v>
      </c>
      <c r="K72" s="11">
        <f t="shared" si="5"/>
        <v>0</v>
      </c>
      <c r="L72" s="11">
        <f t="shared" si="6"/>
        <v>1.5360246000000002</v>
      </c>
      <c r="M72" s="11">
        <f t="shared" si="7"/>
        <v>0</v>
      </c>
      <c r="N72" s="11">
        <f t="shared" si="8"/>
        <v>1.3743378000000002</v>
      </c>
      <c r="O72" s="11">
        <f t="shared" si="9"/>
        <v>0</v>
      </c>
      <c r="P72" s="11">
        <f t="shared" si="10"/>
        <v>1.2463357500000001</v>
      </c>
      <c r="Q72" s="11">
        <f t="shared" si="11"/>
        <v>0</v>
      </c>
    </row>
    <row r="73" spans="1:17" s="180" customFormat="1" ht="13.5" thickBot="1">
      <c r="A73" s="1328"/>
      <c r="B73" s="416"/>
      <c r="C73" s="532" t="s">
        <v>1117</v>
      </c>
      <c r="D73" s="960" t="s">
        <v>1118</v>
      </c>
      <c r="E73" s="172">
        <v>115.93</v>
      </c>
      <c r="F73" s="52">
        <f t="shared" si="0"/>
        <v>63.761500000000012</v>
      </c>
      <c r="G73" s="53">
        <f t="shared" si="1"/>
        <v>0</v>
      </c>
      <c r="H73" s="52">
        <f t="shared" si="2"/>
        <v>2.0001982550000004</v>
      </c>
      <c r="I73" s="11">
        <f t="shared" si="3"/>
        <v>0</v>
      </c>
      <c r="J73" s="11">
        <f t="shared" si="4"/>
        <v>1.7470651000000004</v>
      </c>
      <c r="K73" s="11">
        <f t="shared" si="5"/>
        <v>0</v>
      </c>
      <c r="L73" s="11">
        <f t="shared" si="6"/>
        <v>1.4537622000000003</v>
      </c>
      <c r="M73" s="11">
        <f t="shared" si="7"/>
        <v>0</v>
      </c>
      <c r="N73" s="11">
        <f t="shared" si="8"/>
        <v>1.3007346000000004</v>
      </c>
      <c r="O73" s="11">
        <f t="shared" si="9"/>
        <v>0</v>
      </c>
      <c r="P73" s="11">
        <f t="shared" si="10"/>
        <v>1.1795877500000003</v>
      </c>
      <c r="Q73" s="11">
        <f t="shared" si="11"/>
        <v>0</v>
      </c>
    </row>
    <row r="74" spans="1:17" s="180" customFormat="1" ht="13.5" thickBot="1">
      <c r="A74" s="1328"/>
      <c r="B74" s="416"/>
      <c r="C74" s="891" t="s">
        <v>1109</v>
      </c>
      <c r="D74" s="575" t="s">
        <v>1110</v>
      </c>
      <c r="E74" s="174">
        <v>105.33</v>
      </c>
      <c r="F74" s="52">
        <f t="shared" si="0"/>
        <v>57.931500000000007</v>
      </c>
      <c r="G74" s="53">
        <f t="shared" si="1"/>
        <v>0</v>
      </c>
      <c r="H74" s="52">
        <f t="shared" si="2"/>
        <v>1.8173111550000003</v>
      </c>
      <c r="I74" s="11">
        <f t="shared" si="3"/>
        <v>0</v>
      </c>
      <c r="J74" s="11">
        <f t="shared" si="4"/>
        <v>1.5873231000000003</v>
      </c>
      <c r="K74" s="11">
        <f t="shared" si="5"/>
        <v>0</v>
      </c>
      <c r="L74" s="11">
        <f t="shared" si="6"/>
        <v>1.3208382000000003</v>
      </c>
      <c r="M74" s="11">
        <f t="shared" si="7"/>
        <v>0</v>
      </c>
      <c r="N74" s="11">
        <f t="shared" si="8"/>
        <v>1.1818026000000001</v>
      </c>
      <c r="O74" s="11">
        <f t="shared" si="9"/>
        <v>0</v>
      </c>
      <c r="P74" s="11">
        <f t="shared" si="10"/>
        <v>1.07173275</v>
      </c>
      <c r="Q74" s="11">
        <f t="shared" si="11"/>
        <v>0</v>
      </c>
    </row>
    <row r="75" spans="1:17" s="180" customFormat="1" ht="13.5" thickBot="1">
      <c r="A75" s="1328"/>
      <c r="B75" s="416"/>
      <c r="C75" s="891" t="s">
        <v>1129</v>
      </c>
      <c r="D75" s="575" t="s">
        <v>1130</v>
      </c>
      <c r="E75" s="174">
        <v>115.12</v>
      </c>
      <c r="F75" s="52">
        <f t="shared" si="0"/>
        <v>63.31600000000001</v>
      </c>
      <c r="G75" s="53">
        <f t="shared" si="1"/>
        <v>0</v>
      </c>
      <c r="H75" s="52">
        <f t="shared" si="2"/>
        <v>1.9862229200000003</v>
      </c>
      <c r="I75" s="11">
        <f t="shared" si="3"/>
        <v>0</v>
      </c>
      <c r="J75" s="11">
        <f t="shared" si="4"/>
        <v>1.7348584000000002</v>
      </c>
      <c r="K75" s="11">
        <f t="shared" si="5"/>
        <v>0</v>
      </c>
      <c r="L75" s="11">
        <f t="shared" si="6"/>
        <v>1.4436048000000004</v>
      </c>
      <c r="M75" s="11">
        <f t="shared" si="7"/>
        <v>0</v>
      </c>
      <c r="N75" s="11">
        <f t="shared" si="8"/>
        <v>1.2916464000000003</v>
      </c>
      <c r="O75" s="11">
        <f t="shared" si="9"/>
        <v>0</v>
      </c>
      <c r="P75" s="11">
        <f t="shared" si="10"/>
        <v>1.1713460000000002</v>
      </c>
      <c r="Q75" s="11">
        <f t="shared" si="11"/>
        <v>0</v>
      </c>
    </row>
    <row r="76" spans="1:17" s="180" customFormat="1" ht="13.5" thickBot="1">
      <c r="A76" s="1328"/>
      <c r="B76" s="416"/>
      <c r="C76" s="891" t="s">
        <v>1119</v>
      </c>
      <c r="D76" s="575" t="s">
        <v>1120</v>
      </c>
      <c r="E76" s="174">
        <v>103.1</v>
      </c>
      <c r="F76" s="52">
        <f t="shared" si="0"/>
        <v>56.704999999999998</v>
      </c>
      <c r="G76" s="53">
        <f t="shared" si="1"/>
        <v>0</v>
      </c>
      <c r="H76" s="52">
        <f t="shared" si="2"/>
        <v>1.7788358500000001</v>
      </c>
      <c r="I76" s="11">
        <f t="shared" si="3"/>
        <v>0</v>
      </c>
      <c r="J76" s="11">
        <f t="shared" si="4"/>
        <v>1.553717</v>
      </c>
      <c r="K76" s="11">
        <f t="shared" si="5"/>
        <v>0</v>
      </c>
      <c r="L76" s="11">
        <f t="shared" si="6"/>
        <v>1.2928740000000001</v>
      </c>
      <c r="M76" s="11">
        <f t="shared" si="7"/>
        <v>0</v>
      </c>
      <c r="N76" s="11">
        <f t="shared" si="8"/>
        <v>1.156782</v>
      </c>
      <c r="O76" s="11">
        <f t="shared" si="9"/>
        <v>0</v>
      </c>
      <c r="P76" s="11">
        <f t="shared" si="10"/>
        <v>1.0490424999999999</v>
      </c>
      <c r="Q76" s="11">
        <f t="shared" si="11"/>
        <v>0</v>
      </c>
    </row>
    <row r="77" spans="1:17" s="180" customFormat="1" ht="13.5" thickBot="1">
      <c r="A77" s="1328"/>
      <c r="B77" s="416"/>
      <c r="C77" s="891" t="s">
        <v>1155</v>
      </c>
      <c r="D77" s="575" t="s">
        <v>1156</v>
      </c>
      <c r="E77" s="174">
        <v>99.44</v>
      </c>
      <c r="F77" s="52">
        <f t="shared" si="0"/>
        <v>54.692</v>
      </c>
      <c r="G77" s="53">
        <f t="shared" si="1"/>
        <v>0</v>
      </c>
      <c r="H77" s="52">
        <f t="shared" si="2"/>
        <v>1.7156880400000001</v>
      </c>
      <c r="I77" s="11">
        <f t="shared" si="3"/>
        <v>0</v>
      </c>
      <c r="J77" s="11">
        <f t="shared" si="4"/>
        <v>1.4985608000000001</v>
      </c>
      <c r="K77" s="11">
        <f t="shared" si="5"/>
        <v>0</v>
      </c>
      <c r="L77" s="11">
        <f t="shared" si="6"/>
        <v>1.2469776000000001</v>
      </c>
      <c r="M77" s="11">
        <f t="shared" si="7"/>
        <v>0</v>
      </c>
      <c r="N77" s="11">
        <f t="shared" si="8"/>
        <v>1.1157168000000002</v>
      </c>
      <c r="O77" s="11">
        <f t="shared" si="9"/>
        <v>0</v>
      </c>
      <c r="P77" s="11">
        <f t="shared" si="10"/>
        <v>1.0118019999999999</v>
      </c>
      <c r="Q77" s="11">
        <f t="shared" si="11"/>
        <v>0</v>
      </c>
    </row>
    <row r="78" spans="1:17" s="180" customFormat="1" ht="13.5" thickBot="1">
      <c r="A78" s="1328"/>
      <c r="B78" s="416"/>
      <c r="C78" s="532" t="s">
        <v>1157</v>
      </c>
      <c r="D78" s="960" t="s">
        <v>1158</v>
      </c>
      <c r="E78" s="172">
        <v>99.44</v>
      </c>
      <c r="F78" s="52">
        <f t="shared" si="0"/>
        <v>54.692</v>
      </c>
      <c r="G78" s="53">
        <f t="shared" si="1"/>
        <v>0</v>
      </c>
      <c r="H78" s="52">
        <f t="shared" si="2"/>
        <v>1.7156880400000001</v>
      </c>
      <c r="I78" s="11">
        <f t="shared" si="3"/>
        <v>0</v>
      </c>
      <c r="J78" s="11">
        <f t="shared" si="4"/>
        <v>1.4985608000000001</v>
      </c>
      <c r="K78" s="11">
        <f t="shared" si="5"/>
        <v>0</v>
      </c>
      <c r="L78" s="11">
        <f t="shared" si="6"/>
        <v>1.2469776000000001</v>
      </c>
      <c r="M78" s="11">
        <f t="shared" si="7"/>
        <v>0</v>
      </c>
      <c r="N78" s="11">
        <f t="shared" si="8"/>
        <v>1.1157168000000002</v>
      </c>
      <c r="O78" s="11">
        <f t="shared" si="9"/>
        <v>0</v>
      </c>
      <c r="P78" s="11">
        <f t="shared" si="10"/>
        <v>1.0118019999999999</v>
      </c>
      <c r="Q78" s="11">
        <f t="shared" si="11"/>
        <v>0</v>
      </c>
    </row>
    <row r="79" spans="1:17" s="180" customFormat="1" ht="13.5" thickBot="1">
      <c r="A79" s="1328"/>
      <c r="B79" s="416"/>
      <c r="C79" s="532" t="s">
        <v>1159</v>
      </c>
      <c r="D79" s="960" t="s">
        <v>1160</v>
      </c>
      <c r="E79" s="172">
        <v>99.44</v>
      </c>
      <c r="F79" s="52">
        <f t="shared" si="0"/>
        <v>54.692</v>
      </c>
      <c r="G79" s="54">
        <f t="shared" si="1"/>
        <v>0</v>
      </c>
      <c r="H79" s="11">
        <f t="shared" si="2"/>
        <v>1.7156880400000001</v>
      </c>
      <c r="I79" s="11">
        <f t="shared" si="3"/>
        <v>0</v>
      </c>
      <c r="J79" s="11">
        <f t="shared" si="4"/>
        <v>1.4985608000000001</v>
      </c>
      <c r="K79" s="11">
        <f t="shared" si="5"/>
        <v>0</v>
      </c>
      <c r="L79" s="11">
        <f t="shared" si="6"/>
        <v>1.2469776000000001</v>
      </c>
      <c r="M79" s="11">
        <f t="shared" si="7"/>
        <v>0</v>
      </c>
      <c r="N79" s="11">
        <f t="shared" si="8"/>
        <v>1.1157168000000002</v>
      </c>
      <c r="O79" s="11">
        <f t="shared" si="9"/>
        <v>0</v>
      </c>
      <c r="P79" s="11">
        <f t="shared" si="10"/>
        <v>1.0118019999999999</v>
      </c>
      <c r="Q79" s="11">
        <f t="shared" si="11"/>
        <v>0</v>
      </c>
    </row>
    <row r="80" spans="1:17" s="180" customFormat="1" ht="13.5" thickBot="1">
      <c r="A80" s="1328"/>
      <c r="B80" s="416"/>
      <c r="C80" s="532" t="s">
        <v>1366</v>
      </c>
      <c r="D80" s="960" t="s">
        <v>1367</v>
      </c>
      <c r="E80" s="172">
        <v>1739.34</v>
      </c>
      <c r="F80" s="52">
        <f t="shared" si="0"/>
        <v>956.63700000000006</v>
      </c>
      <c r="G80" s="53">
        <f t="shared" si="1"/>
        <v>0</v>
      </c>
      <c r="H80" s="52">
        <f t="shared" si="2"/>
        <v>30.009702690000005</v>
      </c>
      <c r="I80" s="11">
        <f t="shared" si="3"/>
        <v>0</v>
      </c>
      <c r="J80" s="11">
        <f t="shared" si="4"/>
        <v>26.211853800000004</v>
      </c>
      <c r="K80" s="11">
        <f t="shared" si="5"/>
        <v>0</v>
      </c>
      <c r="L80" s="11">
        <f t="shared" si="6"/>
        <v>21.811323600000001</v>
      </c>
      <c r="M80" s="11">
        <f t="shared" si="7"/>
        <v>0</v>
      </c>
      <c r="N80" s="11">
        <f t="shared" si="8"/>
        <v>19.515394800000003</v>
      </c>
      <c r="O80" s="11">
        <f t="shared" si="9"/>
        <v>0</v>
      </c>
      <c r="P80" s="11">
        <f t="shared" si="10"/>
        <v>17.697784500000001</v>
      </c>
      <c r="Q80" s="11">
        <f t="shared" si="11"/>
        <v>0</v>
      </c>
    </row>
    <row r="81" spans="1:17" s="180" customFormat="1" ht="13.5" thickBot="1">
      <c r="A81" s="1328"/>
      <c r="B81" s="873"/>
      <c r="C81" s="891" t="s">
        <v>1201</v>
      </c>
      <c r="D81" s="575" t="s">
        <v>1202</v>
      </c>
      <c r="E81" s="174">
        <v>25001.78</v>
      </c>
      <c r="F81" s="52">
        <f t="shared" si="0"/>
        <v>13750.979000000001</v>
      </c>
      <c r="G81" s="53">
        <f t="shared" si="1"/>
        <v>0</v>
      </c>
      <c r="H81" s="52">
        <f t="shared" si="2"/>
        <v>431.36821123000004</v>
      </c>
      <c r="I81" s="11">
        <f t="shared" si="3"/>
        <v>0</v>
      </c>
      <c r="J81" s="11">
        <f t="shared" si="4"/>
        <v>376.77682460000005</v>
      </c>
      <c r="K81" s="11">
        <f t="shared" si="5"/>
        <v>0</v>
      </c>
      <c r="L81" s="11">
        <f t="shared" si="6"/>
        <v>313.52232120000002</v>
      </c>
      <c r="M81" s="11">
        <f t="shared" si="7"/>
        <v>0</v>
      </c>
      <c r="N81" s="11">
        <f t="shared" si="8"/>
        <v>280.51997160000002</v>
      </c>
      <c r="O81" s="11">
        <f t="shared" si="9"/>
        <v>0</v>
      </c>
      <c r="P81" s="11">
        <f t="shared" si="10"/>
        <v>254.3931115</v>
      </c>
      <c r="Q81" s="11">
        <f t="shared" si="11"/>
        <v>0</v>
      </c>
    </row>
    <row r="82" spans="1:17" s="180" customFormat="1" ht="13.5" thickBot="1">
      <c r="A82" s="1328"/>
      <c r="B82" s="873"/>
      <c r="C82" s="891" t="s">
        <v>1203</v>
      </c>
      <c r="D82" s="575" t="s">
        <v>1204</v>
      </c>
      <c r="E82" s="174">
        <v>15459.44</v>
      </c>
      <c r="F82" s="52">
        <f t="shared" si="0"/>
        <v>8502.6920000000009</v>
      </c>
      <c r="G82" s="53">
        <f t="shared" si="1"/>
        <v>0</v>
      </c>
      <c r="H82" s="52">
        <f t="shared" si="2"/>
        <v>266.72944804000002</v>
      </c>
      <c r="I82" s="11">
        <f t="shared" si="3"/>
        <v>0</v>
      </c>
      <c r="J82" s="11">
        <f t="shared" si="4"/>
        <v>232.97376080000004</v>
      </c>
      <c r="K82" s="11">
        <f t="shared" si="5"/>
        <v>0</v>
      </c>
      <c r="L82" s="11">
        <f t="shared" si="6"/>
        <v>193.86137760000003</v>
      </c>
      <c r="M82" s="11">
        <f t="shared" si="7"/>
        <v>0</v>
      </c>
      <c r="N82" s="11">
        <f t="shared" si="8"/>
        <v>173.45491680000003</v>
      </c>
      <c r="O82" s="11">
        <f t="shared" si="9"/>
        <v>0</v>
      </c>
      <c r="P82" s="11">
        <f t="shared" si="10"/>
        <v>157.299802</v>
      </c>
      <c r="Q82" s="11">
        <f t="shared" si="11"/>
        <v>0</v>
      </c>
    </row>
    <row r="83" spans="1:17" s="180" customFormat="1" ht="13.5" thickBot="1">
      <c r="A83" s="1328"/>
      <c r="B83" s="873"/>
      <c r="C83" s="891" t="s">
        <v>1403</v>
      </c>
      <c r="D83" s="575" t="s">
        <v>4028</v>
      </c>
      <c r="E83" s="174">
        <v>1042.54</v>
      </c>
      <c r="F83" s="52">
        <f t="shared" si="0"/>
        <v>573.39700000000005</v>
      </c>
      <c r="G83" s="53">
        <f t="shared" si="1"/>
        <v>0</v>
      </c>
      <c r="H83" s="52">
        <f t="shared" si="2"/>
        <v>17.987463890000004</v>
      </c>
      <c r="I83" s="11">
        <f t="shared" si="3"/>
        <v>0</v>
      </c>
      <c r="J83" s="11">
        <f t="shared" si="4"/>
        <v>15.711077800000002</v>
      </c>
      <c r="K83" s="11">
        <f t="shared" si="5"/>
        <v>0</v>
      </c>
      <c r="L83" s="11">
        <f t="shared" si="6"/>
        <v>13.073451600000002</v>
      </c>
      <c r="M83" s="11">
        <f t="shared" si="7"/>
        <v>0</v>
      </c>
      <c r="N83" s="11">
        <f t="shared" si="8"/>
        <v>11.697298800000002</v>
      </c>
      <c r="O83" s="11">
        <f t="shared" si="9"/>
        <v>0</v>
      </c>
      <c r="P83" s="11">
        <f t="shared" si="10"/>
        <v>10.607844500000001</v>
      </c>
      <c r="Q83" s="11">
        <f t="shared" si="11"/>
        <v>0</v>
      </c>
    </row>
    <row r="84" spans="1:17" s="180" customFormat="1" ht="13.5" thickBot="1">
      <c r="A84" s="1328"/>
      <c r="B84" s="873"/>
      <c r="C84" s="532">
        <v>45112781</v>
      </c>
      <c r="D84" s="960" t="s">
        <v>4029</v>
      </c>
      <c r="E84" s="172">
        <v>7870.72</v>
      </c>
      <c r="F84" s="52">
        <f t="shared" si="0"/>
        <v>4328.8960000000006</v>
      </c>
      <c r="G84" s="53">
        <f t="shared" si="1"/>
        <v>0</v>
      </c>
      <c r="H84" s="52">
        <f t="shared" si="2"/>
        <v>135.79746752000003</v>
      </c>
      <c r="I84" s="11">
        <f t="shared" si="3"/>
        <v>0</v>
      </c>
      <c r="J84" s="11">
        <f t="shared" si="4"/>
        <v>118.61175040000002</v>
      </c>
      <c r="K84" s="11">
        <f t="shared" si="5"/>
        <v>0</v>
      </c>
      <c r="L84" s="11">
        <f t="shared" si="6"/>
        <v>98.698828800000015</v>
      </c>
      <c r="M84" s="11">
        <f t="shared" si="7"/>
        <v>0</v>
      </c>
      <c r="N84" s="11">
        <f t="shared" si="8"/>
        <v>88.309478400000017</v>
      </c>
      <c r="O84" s="11">
        <f t="shared" si="9"/>
        <v>0</v>
      </c>
      <c r="P84" s="11">
        <f t="shared" si="10"/>
        <v>80.084576000000013</v>
      </c>
      <c r="Q84" s="11">
        <f t="shared" si="11"/>
        <v>0</v>
      </c>
    </row>
    <row r="85" spans="1:17" s="180" customFormat="1" ht="13.5" thickBot="1">
      <c r="A85" s="1328"/>
      <c r="B85" s="873"/>
      <c r="C85" s="891" t="s">
        <v>1134</v>
      </c>
      <c r="D85" s="575" t="s">
        <v>1135</v>
      </c>
      <c r="E85" s="174">
        <v>6878.07</v>
      </c>
      <c r="F85" s="52">
        <f t="shared" ref="F85:F148" si="12">E85*(1-45%)</f>
        <v>3782.9385000000002</v>
      </c>
      <c r="G85" s="53">
        <f t="shared" ref="G85:G148" si="13">F85*B85</f>
        <v>0</v>
      </c>
      <c r="H85" s="52">
        <f t="shared" ref="H85:H148" si="14">F85*0.03137</f>
        <v>118.67078074500002</v>
      </c>
      <c r="I85" s="11">
        <f t="shared" ref="I85:I148" si="15">H85*B85</f>
        <v>0</v>
      </c>
      <c r="J85" s="11">
        <f>F85*0.0274</f>
        <v>103.65251490000001</v>
      </c>
      <c r="K85" s="11">
        <f t="shared" ref="K85:K148" si="16">J85*B85</f>
        <v>0</v>
      </c>
      <c r="L85" s="11">
        <f t="shared" ref="L85:L126" si="17">F85*0.0228</f>
        <v>86.250997800000007</v>
      </c>
      <c r="M85" s="11">
        <f t="shared" ref="M85:M148" si="18">L85*B85</f>
        <v>0</v>
      </c>
      <c r="N85" s="11">
        <f t="shared" ref="N85:N148" si="19">F85*0.0204</f>
        <v>77.171945400000013</v>
      </c>
      <c r="O85" s="11">
        <f t="shared" ref="O85:O148" si="20">N85*B85</f>
        <v>0</v>
      </c>
      <c r="P85" s="11">
        <f t="shared" ref="P85:P148" si="21">F85*0.0185</f>
        <v>69.984362250000004</v>
      </c>
      <c r="Q85" s="11">
        <f t="shared" ref="Q85:Q148" si="22">P85*B85</f>
        <v>0</v>
      </c>
    </row>
    <row r="86" spans="1:17" s="180" customFormat="1" ht="13.5" thickBot="1">
      <c r="A86" s="1328"/>
      <c r="B86" s="873"/>
      <c r="C86" s="532" t="s">
        <v>1205</v>
      </c>
      <c r="D86" s="960" t="s">
        <v>1206</v>
      </c>
      <c r="E86" s="172">
        <v>7804.2</v>
      </c>
      <c r="F86" s="52">
        <f t="shared" si="12"/>
        <v>4292.3100000000004</v>
      </c>
      <c r="G86" s="54">
        <f t="shared" si="13"/>
        <v>0</v>
      </c>
      <c r="H86" s="11">
        <f t="shared" si="14"/>
        <v>134.64976470000002</v>
      </c>
      <c r="I86" s="11">
        <f t="shared" si="15"/>
        <v>0</v>
      </c>
      <c r="J86" s="11">
        <f>F86*0.0274</f>
        <v>117.60929400000002</v>
      </c>
      <c r="K86" s="11">
        <f t="shared" si="16"/>
        <v>0</v>
      </c>
      <c r="L86" s="11">
        <f t="shared" si="17"/>
        <v>97.864668000000009</v>
      </c>
      <c r="M86" s="11">
        <f t="shared" si="18"/>
        <v>0</v>
      </c>
      <c r="N86" s="11">
        <f t="shared" si="19"/>
        <v>87.563124000000016</v>
      </c>
      <c r="O86" s="11">
        <f t="shared" si="20"/>
        <v>0</v>
      </c>
      <c r="P86" s="11">
        <f t="shared" si="21"/>
        <v>79.407735000000002</v>
      </c>
      <c r="Q86" s="11">
        <f t="shared" si="22"/>
        <v>0</v>
      </c>
    </row>
    <row r="87" spans="1:17" s="180" customFormat="1" ht="13.5" thickBot="1">
      <c r="A87" s="1328"/>
      <c r="B87" s="873"/>
      <c r="C87" s="532" t="s">
        <v>1405</v>
      </c>
      <c r="D87" s="960" t="s">
        <v>4030</v>
      </c>
      <c r="E87" s="174">
        <v>7449.96</v>
      </c>
      <c r="F87" s="52">
        <f t="shared" si="12"/>
        <v>4097.4780000000001</v>
      </c>
      <c r="G87" s="54">
        <f t="shared" si="13"/>
        <v>0</v>
      </c>
      <c r="H87" s="11">
        <f t="shared" si="14"/>
        <v>128.53788486000002</v>
      </c>
      <c r="I87" s="11">
        <f t="shared" si="15"/>
        <v>0</v>
      </c>
      <c r="J87" s="11">
        <f>F87*0.02564</f>
        <v>105.05933592</v>
      </c>
      <c r="K87" s="11">
        <f t="shared" si="16"/>
        <v>0</v>
      </c>
      <c r="L87" s="11">
        <f t="shared" si="17"/>
        <v>93.422498400000009</v>
      </c>
      <c r="M87" s="11">
        <f t="shared" si="18"/>
        <v>0</v>
      </c>
      <c r="N87" s="11">
        <f t="shared" si="19"/>
        <v>83.588551200000012</v>
      </c>
      <c r="O87" s="11">
        <f t="shared" si="20"/>
        <v>0</v>
      </c>
      <c r="P87" s="11">
        <f t="shared" si="21"/>
        <v>75.803342999999998</v>
      </c>
      <c r="Q87" s="11">
        <f t="shared" si="22"/>
        <v>0</v>
      </c>
    </row>
    <row r="88" spans="1:17" s="180" customFormat="1" ht="13.5" thickBot="1">
      <c r="A88" s="1328"/>
      <c r="B88" s="873"/>
      <c r="C88" s="891" t="s">
        <v>1167</v>
      </c>
      <c r="D88" s="575" t="s">
        <v>1168</v>
      </c>
      <c r="E88" s="174">
        <v>24604.13</v>
      </c>
      <c r="F88" s="52">
        <f t="shared" si="12"/>
        <v>13532.271500000003</v>
      </c>
      <c r="G88" s="54">
        <f t="shared" si="13"/>
        <v>0</v>
      </c>
      <c r="H88" s="11">
        <f t="shared" si="14"/>
        <v>424.50735695500009</v>
      </c>
      <c r="I88" s="11">
        <f t="shared" si="15"/>
        <v>0</v>
      </c>
      <c r="J88" s="11">
        <f t="shared" ref="J88:J126" si="23">F88*0.0274</f>
        <v>370.78423910000009</v>
      </c>
      <c r="K88" s="11">
        <f t="shared" si="16"/>
        <v>0</v>
      </c>
      <c r="L88" s="11">
        <f t="shared" si="17"/>
        <v>308.53579020000006</v>
      </c>
      <c r="M88" s="11">
        <f t="shared" si="18"/>
        <v>0</v>
      </c>
      <c r="N88" s="11">
        <f t="shared" si="19"/>
        <v>276.05833860000007</v>
      </c>
      <c r="O88" s="11">
        <f t="shared" si="20"/>
        <v>0</v>
      </c>
      <c r="P88" s="11">
        <f t="shared" si="21"/>
        <v>250.34702275000004</v>
      </c>
      <c r="Q88" s="11">
        <f t="shared" si="22"/>
        <v>0</v>
      </c>
    </row>
    <row r="89" spans="1:17" s="180" customFormat="1" ht="13.5" thickBot="1">
      <c r="A89" s="1328"/>
      <c r="B89" s="873"/>
      <c r="C89" s="891">
        <v>7723000</v>
      </c>
      <c r="D89" s="575" t="s">
        <v>1131</v>
      </c>
      <c r="E89" s="174">
        <v>50817.919999999998</v>
      </c>
      <c r="F89" s="52">
        <f t="shared" si="12"/>
        <v>27949.856</v>
      </c>
      <c r="G89" s="54">
        <f t="shared" si="13"/>
        <v>0</v>
      </c>
      <c r="H89" s="11">
        <f t="shared" si="14"/>
        <v>876.78698272000008</v>
      </c>
      <c r="I89" s="11">
        <f t="shared" si="15"/>
        <v>0</v>
      </c>
      <c r="J89" s="11">
        <f t="shared" si="23"/>
        <v>765.82605439999998</v>
      </c>
      <c r="K89" s="11">
        <f t="shared" si="16"/>
        <v>0</v>
      </c>
      <c r="L89" s="11">
        <f t="shared" si="17"/>
        <v>637.25671680000005</v>
      </c>
      <c r="M89" s="11">
        <f t="shared" si="18"/>
        <v>0</v>
      </c>
      <c r="N89" s="11">
        <f t="shared" si="19"/>
        <v>570.17706240000007</v>
      </c>
      <c r="O89" s="11">
        <f t="shared" si="20"/>
        <v>0</v>
      </c>
      <c r="P89" s="11">
        <f t="shared" si="21"/>
        <v>517.07233599999995</v>
      </c>
      <c r="Q89" s="11">
        <f t="shared" si="22"/>
        <v>0</v>
      </c>
    </row>
    <row r="90" spans="1:17" s="180" customFormat="1" ht="13.5" thickBot="1">
      <c r="A90" s="1328"/>
      <c r="B90" s="873"/>
      <c r="C90" s="891" t="s">
        <v>1148</v>
      </c>
      <c r="D90" s="575" t="s">
        <v>1149</v>
      </c>
      <c r="E90" s="174">
        <v>14005.99</v>
      </c>
      <c r="F90" s="52">
        <f t="shared" si="12"/>
        <v>7703.2945000000009</v>
      </c>
      <c r="G90" s="54">
        <f t="shared" si="13"/>
        <v>0</v>
      </c>
      <c r="H90" s="11">
        <f t="shared" si="14"/>
        <v>241.65234846500005</v>
      </c>
      <c r="I90" s="11">
        <f t="shared" si="15"/>
        <v>0</v>
      </c>
      <c r="J90" s="11">
        <f t="shared" si="23"/>
        <v>211.07026930000004</v>
      </c>
      <c r="K90" s="11">
        <f t="shared" si="16"/>
        <v>0</v>
      </c>
      <c r="L90" s="11">
        <f t="shared" si="17"/>
        <v>175.63511460000004</v>
      </c>
      <c r="M90" s="11">
        <f t="shared" si="18"/>
        <v>0</v>
      </c>
      <c r="N90" s="11">
        <f t="shared" si="19"/>
        <v>157.14720780000002</v>
      </c>
      <c r="O90" s="11">
        <f t="shared" si="20"/>
        <v>0</v>
      </c>
      <c r="P90" s="11">
        <f t="shared" si="21"/>
        <v>142.51094825000001</v>
      </c>
      <c r="Q90" s="11">
        <f t="shared" si="22"/>
        <v>0</v>
      </c>
    </row>
    <row r="91" spans="1:17" s="180" customFormat="1" ht="13.5" thickBot="1">
      <c r="A91" s="1328"/>
      <c r="B91" s="873"/>
      <c r="C91" s="532" t="s">
        <v>1209</v>
      </c>
      <c r="D91" s="960" t="s">
        <v>1210</v>
      </c>
      <c r="E91" s="172">
        <v>3082.28</v>
      </c>
      <c r="F91" s="8">
        <f t="shared" si="12"/>
        <v>1695.2540000000004</v>
      </c>
      <c r="G91" s="10">
        <f t="shared" si="13"/>
        <v>0</v>
      </c>
      <c r="H91" s="11">
        <f t="shared" si="14"/>
        <v>53.180117980000013</v>
      </c>
      <c r="I91" s="11">
        <f t="shared" si="15"/>
        <v>0</v>
      </c>
      <c r="J91" s="11">
        <f t="shared" si="23"/>
        <v>46.449959600000014</v>
      </c>
      <c r="K91" s="11">
        <f t="shared" si="16"/>
        <v>0</v>
      </c>
      <c r="L91" s="11">
        <f t="shared" si="17"/>
        <v>38.651791200000012</v>
      </c>
      <c r="M91" s="11">
        <f t="shared" si="18"/>
        <v>0</v>
      </c>
      <c r="N91" s="11">
        <f t="shared" si="19"/>
        <v>34.58318160000001</v>
      </c>
      <c r="O91" s="11">
        <f t="shared" si="20"/>
        <v>0</v>
      </c>
      <c r="P91" s="11">
        <f t="shared" si="21"/>
        <v>31.362199000000004</v>
      </c>
      <c r="Q91" s="11">
        <f t="shared" si="22"/>
        <v>0</v>
      </c>
    </row>
    <row r="92" spans="1:17" s="180" customFormat="1" ht="13.5" thickBot="1">
      <c r="A92" s="1328"/>
      <c r="B92" s="873"/>
      <c r="C92" s="891" t="s">
        <v>1305</v>
      </c>
      <c r="D92" s="575" t="s">
        <v>1306</v>
      </c>
      <c r="E92" s="174">
        <v>330.33</v>
      </c>
      <c r="F92" s="52">
        <f t="shared" si="12"/>
        <v>181.6815</v>
      </c>
      <c r="G92" s="54">
        <f t="shared" si="13"/>
        <v>0</v>
      </c>
      <c r="H92" s="11">
        <f t="shared" si="14"/>
        <v>5.6993486550000005</v>
      </c>
      <c r="I92" s="11">
        <f t="shared" si="15"/>
        <v>0</v>
      </c>
      <c r="J92" s="11">
        <f t="shared" si="23"/>
        <v>4.9780731000000005</v>
      </c>
      <c r="K92" s="11">
        <f t="shared" si="16"/>
        <v>0</v>
      </c>
      <c r="L92" s="11">
        <f t="shared" si="17"/>
        <v>4.1423382000000002</v>
      </c>
      <c r="M92" s="11">
        <f t="shared" si="18"/>
        <v>0</v>
      </c>
      <c r="N92" s="11">
        <f t="shared" si="19"/>
        <v>3.7063026000000003</v>
      </c>
      <c r="O92" s="11">
        <f t="shared" si="20"/>
        <v>0</v>
      </c>
      <c r="P92" s="11">
        <f t="shared" si="21"/>
        <v>3.3611077499999999</v>
      </c>
      <c r="Q92" s="11">
        <f t="shared" si="22"/>
        <v>0</v>
      </c>
    </row>
    <row r="93" spans="1:17" s="180" customFormat="1" ht="13.5" thickBot="1">
      <c r="A93" s="1328"/>
      <c r="B93" s="873"/>
      <c r="C93" s="532" t="s">
        <v>1307</v>
      </c>
      <c r="D93" s="960" t="s">
        <v>1308</v>
      </c>
      <c r="E93" s="172">
        <v>2347.15</v>
      </c>
      <c r="F93" s="52">
        <f t="shared" si="12"/>
        <v>1290.9325000000001</v>
      </c>
      <c r="G93" s="54">
        <f t="shared" si="13"/>
        <v>0</v>
      </c>
      <c r="H93" s="11">
        <f t="shared" si="14"/>
        <v>40.496552525000006</v>
      </c>
      <c r="I93" s="11">
        <f t="shared" si="15"/>
        <v>0</v>
      </c>
      <c r="J93" s="11">
        <f t="shared" si="23"/>
        <v>35.371550500000005</v>
      </c>
      <c r="K93" s="11">
        <f t="shared" si="16"/>
        <v>0</v>
      </c>
      <c r="L93" s="11">
        <f t="shared" si="17"/>
        <v>29.433261000000005</v>
      </c>
      <c r="M93" s="11">
        <f t="shared" si="18"/>
        <v>0</v>
      </c>
      <c r="N93" s="11">
        <f t="shared" si="19"/>
        <v>26.335023000000003</v>
      </c>
      <c r="O93" s="11">
        <f t="shared" si="20"/>
        <v>0</v>
      </c>
      <c r="P93" s="11">
        <f t="shared" si="21"/>
        <v>23.882251249999999</v>
      </c>
      <c r="Q93" s="11">
        <f t="shared" si="22"/>
        <v>0</v>
      </c>
    </row>
    <row r="94" spans="1:17" s="180" customFormat="1" ht="13.5" thickBot="1">
      <c r="A94" s="1328"/>
      <c r="B94" s="873"/>
      <c r="C94" s="891" t="s">
        <v>1211</v>
      </c>
      <c r="D94" s="575" t="s">
        <v>1212</v>
      </c>
      <c r="E94" s="174">
        <v>5200</v>
      </c>
      <c r="F94" s="52">
        <f t="shared" si="12"/>
        <v>2860.0000000000005</v>
      </c>
      <c r="G94" s="54">
        <f t="shared" si="13"/>
        <v>0</v>
      </c>
      <c r="H94" s="11">
        <f t="shared" si="14"/>
        <v>89.718200000000024</v>
      </c>
      <c r="I94" s="11">
        <f t="shared" si="15"/>
        <v>0</v>
      </c>
      <c r="J94" s="11">
        <f t="shared" si="23"/>
        <v>78.364000000000019</v>
      </c>
      <c r="K94" s="11">
        <f t="shared" si="16"/>
        <v>0</v>
      </c>
      <c r="L94" s="11">
        <f t="shared" si="17"/>
        <v>65.208000000000013</v>
      </c>
      <c r="M94" s="11">
        <f t="shared" si="18"/>
        <v>0</v>
      </c>
      <c r="N94" s="11">
        <f t="shared" si="19"/>
        <v>58.344000000000015</v>
      </c>
      <c r="O94" s="11">
        <f t="shared" si="20"/>
        <v>0</v>
      </c>
      <c r="P94" s="11">
        <f t="shared" si="21"/>
        <v>52.910000000000004</v>
      </c>
      <c r="Q94" s="11">
        <f t="shared" si="22"/>
        <v>0</v>
      </c>
    </row>
    <row r="95" spans="1:17" s="180" customFormat="1" ht="13.5" thickBot="1">
      <c r="A95" s="1328"/>
      <c r="B95" s="873"/>
      <c r="C95" s="891" t="s">
        <v>1213</v>
      </c>
      <c r="D95" s="575" t="s">
        <v>1214</v>
      </c>
      <c r="E95" s="174">
        <v>5200</v>
      </c>
      <c r="F95" s="52">
        <f t="shared" si="12"/>
        <v>2860.0000000000005</v>
      </c>
      <c r="G95" s="54">
        <f t="shared" si="13"/>
        <v>0</v>
      </c>
      <c r="H95" s="11">
        <f t="shared" si="14"/>
        <v>89.718200000000024</v>
      </c>
      <c r="I95" s="11">
        <f t="shared" si="15"/>
        <v>0</v>
      </c>
      <c r="J95" s="11">
        <f t="shared" si="23"/>
        <v>78.364000000000019</v>
      </c>
      <c r="K95" s="11">
        <f t="shared" si="16"/>
        <v>0</v>
      </c>
      <c r="L95" s="11">
        <f t="shared" si="17"/>
        <v>65.208000000000013</v>
      </c>
      <c r="M95" s="11">
        <f t="shared" si="18"/>
        <v>0</v>
      </c>
      <c r="N95" s="11">
        <f t="shared" si="19"/>
        <v>58.344000000000015</v>
      </c>
      <c r="O95" s="11">
        <f t="shared" si="20"/>
        <v>0</v>
      </c>
      <c r="P95" s="11">
        <f t="shared" si="21"/>
        <v>52.910000000000004</v>
      </c>
      <c r="Q95" s="11">
        <f t="shared" si="22"/>
        <v>0</v>
      </c>
    </row>
    <row r="96" spans="1:17" s="180" customFormat="1" ht="13.5" thickBot="1">
      <c r="A96" s="1328"/>
      <c r="B96" s="873"/>
      <c r="C96" s="891" t="s">
        <v>1368</v>
      </c>
      <c r="D96" s="575" t="s">
        <v>4009</v>
      </c>
      <c r="E96" s="174">
        <v>5200</v>
      </c>
      <c r="F96" s="52">
        <f t="shared" si="12"/>
        <v>2860.0000000000005</v>
      </c>
      <c r="G96" s="54">
        <f t="shared" si="13"/>
        <v>0</v>
      </c>
      <c r="H96" s="11">
        <f t="shared" si="14"/>
        <v>89.718200000000024</v>
      </c>
      <c r="I96" s="11">
        <f t="shared" si="15"/>
        <v>0</v>
      </c>
      <c r="J96" s="11">
        <f t="shared" si="23"/>
        <v>78.364000000000019</v>
      </c>
      <c r="K96" s="11">
        <f t="shared" si="16"/>
        <v>0</v>
      </c>
      <c r="L96" s="11">
        <f t="shared" si="17"/>
        <v>65.208000000000013</v>
      </c>
      <c r="M96" s="11">
        <f t="shared" si="18"/>
        <v>0</v>
      </c>
      <c r="N96" s="11">
        <f t="shared" si="19"/>
        <v>58.344000000000015</v>
      </c>
      <c r="O96" s="11">
        <f t="shared" si="20"/>
        <v>0</v>
      </c>
      <c r="P96" s="11">
        <f t="shared" si="21"/>
        <v>52.910000000000004</v>
      </c>
      <c r="Q96" s="11">
        <f t="shared" si="22"/>
        <v>0</v>
      </c>
    </row>
    <row r="97" spans="1:17" s="180" customFormat="1" ht="13.5" thickBot="1">
      <c r="A97" s="1328"/>
      <c r="B97" s="873"/>
      <c r="C97" s="532" t="s">
        <v>1215</v>
      </c>
      <c r="D97" s="960" t="s">
        <v>1216</v>
      </c>
      <c r="E97" s="172">
        <v>9995</v>
      </c>
      <c r="F97" s="52">
        <f t="shared" si="12"/>
        <v>5497.25</v>
      </c>
      <c r="G97" s="54">
        <f t="shared" si="13"/>
        <v>0</v>
      </c>
      <c r="H97" s="11">
        <f t="shared" si="14"/>
        <v>172.44873250000001</v>
      </c>
      <c r="I97" s="11">
        <f t="shared" si="15"/>
        <v>0</v>
      </c>
      <c r="J97" s="11">
        <f t="shared" si="23"/>
        <v>150.62465</v>
      </c>
      <c r="K97" s="11">
        <f t="shared" si="16"/>
        <v>0</v>
      </c>
      <c r="L97" s="11">
        <f t="shared" si="17"/>
        <v>125.3373</v>
      </c>
      <c r="M97" s="11">
        <f t="shared" si="18"/>
        <v>0</v>
      </c>
      <c r="N97" s="11">
        <f t="shared" si="19"/>
        <v>112.1439</v>
      </c>
      <c r="O97" s="11">
        <f t="shared" si="20"/>
        <v>0</v>
      </c>
      <c r="P97" s="11">
        <f t="shared" si="21"/>
        <v>101.699125</v>
      </c>
      <c r="Q97" s="11">
        <f t="shared" si="22"/>
        <v>0</v>
      </c>
    </row>
    <row r="98" spans="1:17" s="180" customFormat="1" ht="13.5" thickBot="1">
      <c r="A98" s="1328"/>
      <c r="B98" s="873"/>
      <c r="C98" s="532" t="s">
        <v>4031</v>
      </c>
      <c r="D98" s="960" t="s">
        <v>4032</v>
      </c>
      <c r="E98" s="172">
        <v>35280</v>
      </c>
      <c r="F98" s="52">
        <f t="shared" si="12"/>
        <v>19404</v>
      </c>
      <c r="G98" s="54">
        <f t="shared" si="13"/>
        <v>0</v>
      </c>
      <c r="H98" s="11">
        <f t="shared" si="14"/>
        <v>608.70348000000001</v>
      </c>
      <c r="I98" s="11">
        <f t="shared" si="15"/>
        <v>0</v>
      </c>
      <c r="J98" s="11">
        <f t="shared" si="23"/>
        <v>531.66960000000006</v>
      </c>
      <c r="K98" s="11">
        <f t="shared" si="16"/>
        <v>0</v>
      </c>
      <c r="L98" s="11">
        <f t="shared" si="17"/>
        <v>442.41120000000001</v>
      </c>
      <c r="M98" s="11">
        <f t="shared" si="18"/>
        <v>0</v>
      </c>
      <c r="N98" s="11">
        <f t="shared" si="19"/>
        <v>395.84160000000003</v>
      </c>
      <c r="O98" s="11">
        <f t="shared" si="20"/>
        <v>0</v>
      </c>
      <c r="P98" s="11">
        <f t="shared" si="21"/>
        <v>358.97399999999999</v>
      </c>
      <c r="Q98" s="11">
        <f t="shared" si="22"/>
        <v>0</v>
      </c>
    </row>
    <row r="99" spans="1:17" s="180" customFormat="1" ht="13.5" thickBot="1">
      <c r="A99" s="1328"/>
      <c r="B99" s="873"/>
      <c r="C99" s="532" t="s">
        <v>1369</v>
      </c>
      <c r="D99" s="960" t="s">
        <v>4101</v>
      </c>
      <c r="E99" s="172">
        <v>36979.17</v>
      </c>
      <c r="F99" s="52">
        <f t="shared" si="12"/>
        <v>20338.5435</v>
      </c>
      <c r="G99" s="53">
        <f t="shared" si="13"/>
        <v>0</v>
      </c>
      <c r="H99" s="52">
        <f t="shared" si="14"/>
        <v>638.02010959500001</v>
      </c>
      <c r="I99" s="11">
        <f t="shared" si="15"/>
        <v>0</v>
      </c>
      <c r="J99" s="11">
        <f t="shared" si="23"/>
        <v>557.27609189999998</v>
      </c>
      <c r="K99" s="11">
        <f t="shared" si="16"/>
        <v>0</v>
      </c>
      <c r="L99" s="11">
        <f t="shared" si="17"/>
        <v>463.71879180000002</v>
      </c>
      <c r="M99" s="11">
        <f t="shared" si="18"/>
        <v>0</v>
      </c>
      <c r="N99" s="11">
        <f t="shared" si="19"/>
        <v>414.90628740000005</v>
      </c>
      <c r="O99" s="11">
        <f t="shared" si="20"/>
        <v>0</v>
      </c>
      <c r="P99" s="11">
        <f t="shared" si="21"/>
        <v>376.26305474999998</v>
      </c>
      <c r="Q99" s="11">
        <f t="shared" si="22"/>
        <v>0</v>
      </c>
    </row>
    <row r="100" spans="1:17" s="180" customFormat="1" ht="13.5" thickBot="1">
      <c r="A100" s="1328"/>
      <c r="B100" s="873"/>
      <c r="C100" s="532" t="s">
        <v>1370</v>
      </c>
      <c r="D100" s="960" t="s">
        <v>1371</v>
      </c>
      <c r="E100" s="172">
        <v>95931.99</v>
      </c>
      <c r="F100" s="52">
        <f t="shared" si="12"/>
        <v>52762.594500000007</v>
      </c>
      <c r="G100" s="53">
        <f t="shared" si="13"/>
        <v>0</v>
      </c>
      <c r="H100" s="52">
        <f t="shared" si="14"/>
        <v>1655.1625894650003</v>
      </c>
      <c r="I100" s="11">
        <f t="shared" si="15"/>
        <v>0</v>
      </c>
      <c r="J100" s="11">
        <f t="shared" si="23"/>
        <v>1445.6950893000003</v>
      </c>
      <c r="K100" s="11">
        <f t="shared" si="16"/>
        <v>0</v>
      </c>
      <c r="L100" s="11">
        <f t="shared" si="17"/>
        <v>1202.9871546000002</v>
      </c>
      <c r="M100" s="11">
        <f t="shared" si="18"/>
        <v>0</v>
      </c>
      <c r="N100" s="11">
        <f t="shared" si="19"/>
        <v>1076.3569278000002</v>
      </c>
      <c r="O100" s="11">
        <f t="shared" si="20"/>
        <v>0</v>
      </c>
      <c r="P100" s="11">
        <f t="shared" si="21"/>
        <v>976.10799825000004</v>
      </c>
      <c r="Q100" s="11">
        <f t="shared" si="22"/>
        <v>0</v>
      </c>
    </row>
    <row r="101" spans="1:17" s="180" customFormat="1" ht="13.5" thickBot="1">
      <c r="A101" s="1328"/>
      <c r="B101" s="873"/>
      <c r="C101" s="532" t="s">
        <v>1346</v>
      </c>
      <c r="D101" s="960" t="s">
        <v>4097</v>
      </c>
      <c r="E101" s="172">
        <v>7969.5</v>
      </c>
      <c r="F101" s="52">
        <f t="shared" si="12"/>
        <v>4383.2250000000004</v>
      </c>
      <c r="G101" s="53">
        <f t="shared" si="13"/>
        <v>0</v>
      </c>
      <c r="H101" s="52">
        <f t="shared" si="14"/>
        <v>137.50176825000003</v>
      </c>
      <c r="I101" s="11">
        <f t="shared" si="15"/>
        <v>0</v>
      </c>
      <c r="J101" s="11">
        <f t="shared" si="23"/>
        <v>120.10036500000001</v>
      </c>
      <c r="K101" s="11">
        <f t="shared" si="16"/>
        <v>0</v>
      </c>
      <c r="L101" s="11">
        <f t="shared" si="17"/>
        <v>99.93753000000001</v>
      </c>
      <c r="M101" s="11">
        <f t="shared" si="18"/>
        <v>0</v>
      </c>
      <c r="N101" s="11">
        <f t="shared" si="19"/>
        <v>89.417790000000011</v>
      </c>
      <c r="O101" s="11">
        <f t="shared" si="20"/>
        <v>0</v>
      </c>
      <c r="P101" s="11">
        <f t="shared" si="21"/>
        <v>81.089662500000003</v>
      </c>
      <c r="Q101" s="11">
        <f t="shared" si="22"/>
        <v>0</v>
      </c>
    </row>
    <row r="102" spans="1:17" s="180" customFormat="1" ht="13.5" thickBot="1">
      <c r="A102" s="1328"/>
      <c r="B102" s="873"/>
      <c r="C102" s="532" t="s">
        <v>1311</v>
      </c>
      <c r="D102" s="960" t="s">
        <v>1154</v>
      </c>
      <c r="E102" s="172">
        <v>2061.2600000000002</v>
      </c>
      <c r="F102" s="52">
        <f t="shared" si="12"/>
        <v>1133.6930000000002</v>
      </c>
      <c r="G102" s="53">
        <f t="shared" si="13"/>
        <v>0</v>
      </c>
      <c r="H102" s="52">
        <f t="shared" si="14"/>
        <v>35.563949410000006</v>
      </c>
      <c r="I102" s="11">
        <f t="shared" si="15"/>
        <v>0</v>
      </c>
      <c r="J102" s="11">
        <f t="shared" si="23"/>
        <v>31.063188200000006</v>
      </c>
      <c r="K102" s="11">
        <f t="shared" si="16"/>
        <v>0</v>
      </c>
      <c r="L102" s="11">
        <f t="shared" si="17"/>
        <v>25.848200400000007</v>
      </c>
      <c r="M102" s="11">
        <f t="shared" si="18"/>
        <v>0</v>
      </c>
      <c r="N102" s="11">
        <f t="shared" si="19"/>
        <v>23.127337200000007</v>
      </c>
      <c r="O102" s="11">
        <f t="shared" si="20"/>
        <v>0</v>
      </c>
      <c r="P102" s="11">
        <f t="shared" si="21"/>
        <v>20.973320500000003</v>
      </c>
      <c r="Q102" s="11">
        <f t="shared" si="22"/>
        <v>0</v>
      </c>
    </row>
    <row r="103" spans="1:17" s="180" customFormat="1" ht="13.5" thickBot="1">
      <c r="A103" s="1328"/>
      <c r="B103" s="873"/>
      <c r="C103" s="532" t="s">
        <v>1219</v>
      </c>
      <c r="D103" s="960" t="s">
        <v>1220</v>
      </c>
      <c r="E103" s="172">
        <v>23783.759999999998</v>
      </c>
      <c r="F103" s="52">
        <f t="shared" si="12"/>
        <v>13081.067999999999</v>
      </c>
      <c r="G103" s="53">
        <f t="shared" si="13"/>
        <v>0</v>
      </c>
      <c r="H103" s="52">
        <f t="shared" si="14"/>
        <v>410.35310315999999</v>
      </c>
      <c r="I103" s="11">
        <f t="shared" si="15"/>
        <v>0</v>
      </c>
      <c r="J103" s="11">
        <f t="shared" si="23"/>
        <v>358.4212632</v>
      </c>
      <c r="K103" s="11">
        <f t="shared" si="16"/>
        <v>0</v>
      </c>
      <c r="L103" s="11">
        <f t="shared" si="17"/>
        <v>298.24835039999999</v>
      </c>
      <c r="M103" s="11">
        <f t="shared" si="18"/>
        <v>0</v>
      </c>
      <c r="N103" s="11">
        <f t="shared" si="19"/>
        <v>266.8537872</v>
      </c>
      <c r="O103" s="11">
        <f t="shared" si="20"/>
        <v>0</v>
      </c>
      <c r="P103" s="11">
        <f t="shared" si="21"/>
        <v>241.99975799999999</v>
      </c>
      <c r="Q103" s="11">
        <f t="shared" si="22"/>
        <v>0</v>
      </c>
    </row>
    <row r="104" spans="1:17" s="180" customFormat="1" ht="13.5" thickBot="1">
      <c r="A104" s="1328"/>
      <c r="B104" s="873"/>
      <c r="C104" s="532" t="s">
        <v>3990</v>
      </c>
      <c r="D104" s="960" t="s">
        <v>3991</v>
      </c>
      <c r="E104" s="172">
        <v>12289.2</v>
      </c>
      <c r="F104" s="52">
        <f t="shared" si="12"/>
        <v>6759.0600000000013</v>
      </c>
      <c r="G104" s="53">
        <f t="shared" si="13"/>
        <v>0</v>
      </c>
      <c r="H104" s="52">
        <f t="shared" si="14"/>
        <v>212.03171220000004</v>
      </c>
      <c r="I104" s="11">
        <f t="shared" si="15"/>
        <v>0</v>
      </c>
      <c r="J104" s="11">
        <f t="shared" si="23"/>
        <v>185.19824400000005</v>
      </c>
      <c r="K104" s="11">
        <f t="shared" si="16"/>
        <v>0</v>
      </c>
      <c r="L104" s="11">
        <f t="shared" si="17"/>
        <v>154.10656800000004</v>
      </c>
      <c r="M104" s="11">
        <f t="shared" si="18"/>
        <v>0</v>
      </c>
      <c r="N104" s="11">
        <f t="shared" si="19"/>
        <v>137.88482400000004</v>
      </c>
      <c r="O104" s="11">
        <f t="shared" si="20"/>
        <v>0</v>
      </c>
      <c r="P104" s="11">
        <f t="shared" si="21"/>
        <v>125.04261000000002</v>
      </c>
      <c r="Q104" s="11">
        <f t="shared" si="22"/>
        <v>0</v>
      </c>
    </row>
    <row r="105" spans="1:17" s="180" customFormat="1" ht="13.5" thickBot="1">
      <c r="A105" s="1328"/>
      <c r="B105" s="873"/>
      <c r="C105" s="532" t="s">
        <v>1221</v>
      </c>
      <c r="D105" s="960" t="s">
        <v>1222</v>
      </c>
      <c r="E105" s="172">
        <v>1479.88</v>
      </c>
      <c r="F105" s="52">
        <f t="shared" si="12"/>
        <v>813.93400000000008</v>
      </c>
      <c r="G105" s="53">
        <f t="shared" si="13"/>
        <v>0</v>
      </c>
      <c r="H105" s="52">
        <f t="shared" si="14"/>
        <v>25.533109580000005</v>
      </c>
      <c r="I105" s="11">
        <f t="shared" si="15"/>
        <v>0</v>
      </c>
      <c r="J105" s="11">
        <f t="shared" si="23"/>
        <v>22.301791600000001</v>
      </c>
      <c r="K105" s="11">
        <f t="shared" si="16"/>
        <v>0</v>
      </c>
      <c r="L105" s="11">
        <f t="shared" si="17"/>
        <v>18.557695200000001</v>
      </c>
      <c r="M105" s="11">
        <f t="shared" si="18"/>
        <v>0</v>
      </c>
      <c r="N105" s="11">
        <f t="shared" si="19"/>
        <v>16.604253600000003</v>
      </c>
      <c r="O105" s="11">
        <f t="shared" si="20"/>
        <v>0</v>
      </c>
      <c r="P105" s="11">
        <f t="shared" si="21"/>
        <v>15.057779</v>
      </c>
      <c r="Q105" s="11">
        <f t="shared" si="22"/>
        <v>0</v>
      </c>
    </row>
    <row r="106" spans="1:17" s="180" customFormat="1" ht="13.5" thickBot="1">
      <c r="A106" s="1328"/>
      <c r="B106" s="873"/>
      <c r="C106" s="532" t="s">
        <v>3992</v>
      </c>
      <c r="D106" s="960" t="s">
        <v>3993</v>
      </c>
      <c r="E106" s="174">
        <v>1100</v>
      </c>
      <c r="F106" s="52">
        <f t="shared" si="12"/>
        <v>605</v>
      </c>
      <c r="G106" s="53">
        <f t="shared" si="13"/>
        <v>0</v>
      </c>
      <c r="H106" s="52">
        <f t="shared" si="14"/>
        <v>18.978850000000001</v>
      </c>
      <c r="I106" s="11">
        <f t="shared" si="15"/>
        <v>0</v>
      </c>
      <c r="J106" s="11">
        <f t="shared" si="23"/>
        <v>16.577000000000002</v>
      </c>
      <c r="K106" s="11">
        <f t="shared" si="16"/>
        <v>0</v>
      </c>
      <c r="L106" s="11">
        <f t="shared" si="17"/>
        <v>13.794</v>
      </c>
      <c r="M106" s="11">
        <f t="shared" si="18"/>
        <v>0</v>
      </c>
      <c r="N106" s="11">
        <f t="shared" si="19"/>
        <v>12.342000000000001</v>
      </c>
      <c r="O106" s="11">
        <f t="shared" si="20"/>
        <v>0</v>
      </c>
      <c r="P106" s="11">
        <f t="shared" si="21"/>
        <v>11.192499999999999</v>
      </c>
      <c r="Q106" s="11">
        <f t="shared" si="22"/>
        <v>0</v>
      </c>
    </row>
    <row r="107" spans="1:17" s="180" customFormat="1" ht="13.5" thickBot="1">
      <c r="A107" s="1328"/>
      <c r="B107" s="873"/>
      <c r="C107" s="532" t="s">
        <v>3994</v>
      </c>
      <c r="D107" s="960" t="s">
        <v>3995</v>
      </c>
      <c r="E107" s="172">
        <v>1100</v>
      </c>
      <c r="F107" s="52">
        <f t="shared" si="12"/>
        <v>605</v>
      </c>
      <c r="G107" s="53">
        <f t="shared" si="13"/>
        <v>0</v>
      </c>
      <c r="H107" s="52">
        <f t="shared" si="14"/>
        <v>18.978850000000001</v>
      </c>
      <c r="I107" s="11">
        <f t="shared" si="15"/>
        <v>0</v>
      </c>
      <c r="J107" s="11">
        <f t="shared" si="23"/>
        <v>16.577000000000002</v>
      </c>
      <c r="K107" s="11">
        <f t="shared" si="16"/>
        <v>0</v>
      </c>
      <c r="L107" s="11">
        <f t="shared" si="17"/>
        <v>13.794</v>
      </c>
      <c r="M107" s="11">
        <f t="shared" si="18"/>
        <v>0</v>
      </c>
      <c r="N107" s="11">
        <f t="shared" si="19"/>
        <v>12.342000000000001</v>
      </c>
      <c r="O107" s="11">
        <f t="shared" si="20"/>
        <v>0</v>
      </c>
      <c r="P107" s="11">
        <f t="shared" si="21"/>
        <v>11.192499999999999</v>
      </c>
      <c r="Q107" s="11">
        <f t="shared" si="22"/>
        <v>0</v>
      </c>
    </row>
    <row r="108" spans="1:17" s="180" customFormat="1" ht="13.5" thickBot="1">
      <c r="A108" s="1328"/>
      <c r="B108" s="873"/>
      <c r="C108" s="891" t="s">
        <v>3996</v>
      </c>
      <c r="D108" s="575" t="s">
        <v>3997</v>
      </c>
      <c r="E108" s="174">
        <v>550</v>
      </c>
      <c r="F108" s="52">
        <f t="shared" si="12"/>
        <v>302.5</v>
      </c>
      <c r="G108" s="53">
        <f t="shared" si="13"/>
        <v>0</v>
      </c>
      <c r="H108" s="52">
        <f t="shared" si="14"/>
        <v>9.4894250000000007</v>
      </c>
      <c r="I108" s="11">
        <f t="shared" si="15"/>
        <v>0</v>
      </c>
      <c r="J108" s="11">
        <f t="shared" si="23"/>
        <v>8.2885000000000009</v>
      </c>
      <c r="K108" s="11">
        <f t="shared" si="16"/>
        <v>0</v>
      </c>
      <c r="L108" s="11">
        <f t="shared" si="17"/>
        <v>6.8970000000000002</v>
      </c>
      <c r="M108" s="11">
        <f t="shared" si="18"/>
        <v>0</v>
      </c>
      <c r="N108" s="11">
        <f t="shared" si="19"/>
        <v>6.1710000000000003</v>
      </c>
      <c r="O108" s="11">
        <f t="shared" si="20"/>
        <v>0</v>
      </c>
      <c r="P108" s="11">
        <f t="shared" si="21"/>
        <v>5.5962499999999995</v>
      </c>
      <c r="Q108" s="11">
        <f t="shared" si="22"/>
        <v>0</v>
      </c>
    </row>
    <row r="109" spans="1:17" s="180" customFormat="1" ht="13.5" thickBot="1">
      <c r="A109" s="1328"/>
      <c r="B109" s="873"/>
      <c r="C109" s="891" t="s">
        <v>1223</v>
      </c>
      <c r="D109" s="575" t="s">
        <v>1224</v>
      </c>
      <c r="E109" s="174">
        <v>1177.18</v>
      </c>
      <c r="F109" s="52">
        <f t="shared" si="12"/>
        <v>647.44900000000007</v>
      </c>
      <c r="G109" s="53">
        <f t="shared" si="13"/>
        <v>0</v>
      </c>
      <c r="H109" s="52">
        <f t="shared" si="14"/>
        <v>20.310475130000004</v>
      </c>
      <c r="I109" s="11">
        <f t="shared" si="15"/>
        <v>0</v>
      </c>
      <c r="J109" s="11">
        <f t="shared" si="23"/>
        <v>17.740102600000004</v>
      </c>
      <c r="K109" s="11">
        <f t="shared" si="16"/>
        <v>0</v>
      </c>
      <c r="L109" s="11">
        <f t="shared" si="17"/>
        <v>14.761837200000002</v>
      </c>
      <c r="M109" s="11">
        <f t="shared" si="18"/>
        <v>0</v>
      </c>
      <c r="N109" s="11">
        <f t="shared" si="19"/>
        <v>13.207959600000002</v>
      </c>
      <c r="O109" s="11">
        <f t="shared" si="20"/>
        <v>0</v>
      </c>
      <c r="P109" s="11">
        <f t="shared" si="21"/>
        <v>11.9778065</v>
      </c>
      <c r="Q109" s="11">
        <f t="shared" si="22"/>
        <v>0</v>
      </c>
    </row>
    <row r="110" spans="1:17" s="180" customFormat="1" ht="13.5" thickBot="1">
      <c r="A110" s="1328"/>
      <c r="B110" s="873"/>
      <c r="C110" s="532" t="s">
        <v>1312</v>
      </c>
      <c r="D110" s="960" t="s">
        <v>3998</v>
      </c>
      <c r="E110" s="172">
        <v>384.77</v>
      </c>
      <c r="F110" s="8">
        <f t="shared" si="12"/>
        <v>211.62350000000001</v>
      </c>
      <c r="G110" s="9">
        <f t="shared" si="13"/>
        <v>0</v>
      </c>
      <c r="H110" s="52">
        <f t="shared" si="14"/>
        <v>6.6386291950000009</v>
      </c>
      <c r="I110" s="11">
        <f t="shared" si="15"/>
        <v>0</v>
      </c>
      <c r="J110" s="11">
        <f t="shared" si="23"/>
        <v>5.7984838999999999</v>
      </c>
      <c r="K110" s="11">
        <f t="shared" si="16"/>
        <v>0</v>
      </c>
      <c r="L110" s="11">
        <f t="shared" si="17"/>
        <v>4.8250158000000001</v>
      </c>
      <c r="M110" s="11">
        <f t="shared" si="18"/>
        <v>0</v>
      </c>
      <c r="N110" s="11">
        <f t="shared" si="19"/>
        <v>4.3171194000000002</v>
      </c>
      <c r="O110" s="11">
        <f t="shared" si="20"/>
        <v>0</v>
      </c>
      <c r="P110" s="11">
        <f t="shared" si="21"/>
        <v>3.9150347499999998</v>
      </c>
      <c r="Q110" s="11">
        <f t="shared" si="22"/>
        <v>0</v>
      </c>
    </row>
    <row r="111" spans="1:17" s="180" customFormat="1" ht="13.5" thickBot="1">
      <c r="A111" s="1328"/>
      <c r="B111" s="873"/>
      <c r="C111" s="891" t="s">
        <v>1225</v>
      </c>
      <c r="D111" s="575" t="s">
        <v>1226</v>
      </c>
      <c r="E111" s="174">
        <v>27684.06</v>
      </c>
      <c r="F111" s="52">
        <f t="shared" si="12"/>
        <v>15226.233000000002</v>
      </c>
      <c r="G111" s="53">
        <f t="shared" si="13"/>
        <v>0</v>
      </c>
      <c r="H111" s="52">
        <f t="shared" si="14"/>
        <v>477.64692921000011</v>
      </c>
      <c r="I111" s="11">
        <f t="shared" si="15"/>
        <v>0</v>
      </c>
      <c r="J111" s="11">
        <f t="shared" si="23"/>
        <v>417.19878420000009</v>
      </c>
      <c r="K111" s="11">
        <f t="shared" si="16"/>
        <v>0</v>
      </c>
      <c r="L111" s="11">
        <f t="shared" si="17"/>
        <v>347.15811240000005</v>
      </c>
      <c r="M111" s="11">
        <f t="shared" si="18"/>
        <v>0</v>
      </c>
      <c r="N111" s="11">
        <f t="shared" si="19"/>
        <v>310.61515320000007</v>
      </c>
      <c r="O111" s="11">
        <f t="shared" si="20"/>
        <v>0</v>
      </c>
      <c r="P111" s="11">
        <f t="shared" si="21"/>
        <v>281.68531050000001</v>
      </c>
      <c r="Q111" s="11">
        <f t="shared" si="22"/>
        <v>0</v>
      </c>
    </row>
    <row r="112" spans="1:17" s="180" customFormat="1" ht="13.5" thickBot="1">
      <c r="A112" s="1328"/>
      <c r="B112" s="873"/>
      <c r="C112" s="532" t="s">
        <v>1372</v>
      </c>
      <c r="D112" s="960" t="s">
        <v>1373</v>
      </c>
      <c r="E112" s="172">
        <v>4894.8900000000003</v>
      </c>
      <c r="F112" s="52">
        <f t="shared" si="12"/>
        <v>2692.1895000000004</v>
      </c>
      <c r="G112" s="54">
        <f t="shared" si="13"/>
        <v>0</v>
      </c>
      <c r="H112" s="11">
        <f t="shared" si="14"/>
        <v>84.453984615000024</v>
      </c>
      <c r="I112" s="11">
        <f t="shared" si="15"/>
        <v>0</v>
      </c>
      <c r="J112" s="11">
        <f t="shared" si="23"/>
        <v>73.765992300000008</v>
      </c>
      <c r="K112" s="11">
        <f t="shared" si="16"/>
        <v>0</v>
      </c>
      <c r="L112" s="11">
        <f t="shared" si="17"/>
        <v>61.381920600000015</v>
      </c>
      <c r="M112" s="11">
        <f t="shared" si="18"/>
        <v>0</v>
      </c>
      <c r="N112" s="11">
        <f t="shared" si="19"/>
        <v>54.920665800000009</v>
      </c>
      <c r="O112" s="11">
        <f t="shared" si="20"/>
        <v>0</v>
      </c>
      <c r="P112" s="11">
        <f t="shared" si="21"/>
        <v>49.805505750000002</v>
      </c>
      <c r="Q112" s="11">
        <f t="shared" si="22"/>
        <v>0</v>
      </c>
    </row>
    <row r="113" spans="1:17" s="180" customFormat="1" ht="13.5" thickBot="1">
      <c r="A113" s="1328"/>
      <c r="B113" s="873"/>
      <c r="C113" s="532" t="s">
        <v>1374</v>
      </c>
      <c r="D113" s="960" t="s">
        <v>1375</v>
      </c>
      <c r="E113" s="172">
        <v>7557.95</v>
      </c>
      <c r="F113" s="52">
        <f t="shared" si="12"/>
        <v>4156.8725000000004</v>
      </c>
      <c r="G113" s="54">
        <f t="shared" si="13"/>
        <v>0</v>
      </c>
      <c r="H113" s="11">
        <f t="shared" si="14"/>
        <v>130.40109032500001</v>
      </c>
      <c r="I113" s="11">
        <f t="shared" si="15"/>
        <v>0</v>
      </c>
      <c r="J113" s="11">
        <f t="shared" si="23"/>
        <v>113.89830650000002</v>
      </c>
      <c r="K113" s="11">
        <f t="shared" si="16"/>
        <v>0</v>
      </c>
      <c r="L113" s="11">
        <f t="shared" si="17"/>
        <v>94.776693000000009</v>
      </c>
      <c r="M113" s="11">
        <f t="shared" si="18"/>
        <v>0</v>
      </c>
      <c r="N113" s="11">
        <f t="shared" si="19"/>
        <v>84.800199000000021</v>
      </c>
      <c r="O113" s="11">
        <f t="shared" si="20"/>
        <v>0</v>
      </c>
      <c r="P113" s="11">
        <f t="shared" si="21"/>
        <v>76.90214125</v>
      </c>
      <c r="Q113" s="11">
        <f t="shared" si="22"/>
        <v>0</v>
      </c>
    </row>
    <row r="114" spans="1:17" s="180" customFormat="1" ht="13.5" thickBot="1">
      <c r="A114" s="1328"/>
      <c r="B114" s="873"/>
      <c r="C114" s="532" t="s">
        <v>1376</v>
      </c>
      <c r="D114" s="960" t="s">
        <v>1377</v>
      </c>
      <c r="E114" s="172">
        <v>2994.59</v>
      </c>
      <c r="F114" s="52">
        <f t="shared" si="12"/>
        <v>1647.0245000000002</v>
      </c>
      <c r="G114" s="54">
        <f t="shared" si="13"/>
        <v>0</v>
      </c>
      <c r="H114" s="11">
        <f t="shared" si="14"/>
        <v>51.667158565000008</v>
      </c>
      <c r="I114" s="11">
        <f t="shared" si="15"/>
        <v>0</v>
      </c>
      <c r="J114" s="11">
        <f t="shared" si="23"/>
        <v>45.128471300000008</v>
      </c>
      <c r="K114" s="11">
        <f t="shared" si="16"/>
        <v>0</v>
      </c>
      <c r="L114" s="11">
        <f t="shared" si="17"/>
        <v>37.552158600000006</v>
      </c>
      <c r="M114" s="11">
        <f t="shared" si="18"/>
        <v>0</v>
      </c>
      <c r="N114" s="11">
        <f t="shared" si="19"/>
        <v>33.599299800000004</v>
      </c>
      <c r="O114" s="11">
        <f t="shared" si="20"/>
        <v>0</v>
      </c>
      <c r="P114" s="11">
        <f t="shared" si="21"/>
        <v>30.469953250000003</v>
      </c>
      <c r="Q114" s="11">
        <f t="shared" si="22"/>
        <v>0</v>
      </c>
    </row>
    <row r="115" spans="1:17" s="180" customFormat="1" ht="13.5" thickBot="1">
      <c r="A115" s="1328"/>
      <c r="B115" s="873"/>
      <c r="C115" s="532" t="s">
        <v>1378</v>
      </c>
      <c r="D115" s="960" t="s">
        <v>1379</v>
      </c>
      <c r="E115" s="172">
        <v>5627.62</v>
      </c>
      <c r="F115" s="52">
        <f t="shared" si="12"/>
        <v>3095.1910000000003</v>
      </c>
      <c r="G115" s="54">
        <f t="shared" si="13"/>
        <v>0</v>
      </c>
      <c r="H115" s="11">
        <f t="shared" si="14"/>
        <v>97.096141670000009</v>
      </c>
      <c r="I115" s="11">
        <f t="shared" si="15"/>
        <v>0</v>
      </c>
      <c r="J115" s="11">
        <f t="shared" si="23"/>
        <v>84.808233400000006</v>
      </c>
      <c r="K115" s="11">
        <f t="shared" si="16"/>
        <v>0</v>
      </c>
      <c r="L115" s="11">
        <f t="shared" si="17"/>
        <v>70.570354800000004</v>
      </c>
      <c r="M115" s="11">
        <f t="shared" si="18"/>
        <v>0</v>
      </c>
      <c r="N115" s="11">
        <f t="shared" si="19"/>
        <v>63.141896400000007</v>
      </c>
      <c r="O115" s="11">
        <f t="shared" si="20"/>
        <v>0</v>
      </c>
      <c r="P115" s="11">
        <f t="shared" si="21"/>
        <v>57.261033500000003</v>
      </c>
      <c r="Q115" s="11">
        <f t="shared" si="22"/>
        <v>0</v>
      </c>
    </row>
    <row r="116" spans="1:17" s="180" customFormat="1" ht="13.5" thickBot="1">
      <c r="A116" s="1328"/>
      <c r="B116" s="873"/>
      <c r="C116" s="532" t="s">
        <v>1138</v>
      </c>
      <c r="D116" s="960" t="s">
        <v>1139</v>
      </c>
      <c r="E116" s="172">
        <v>588.59</v>
      </c>
      <c r="F116" s="8">
        <f t="shared" si="12"/>
        <v>323.72450000000003</v>
      </c>
      <c r="G116" s="9">
        <f t="shared" si="13"/>
        <v>0</v>
      </c>
      <c r="H116" s="52">
        <f t="shared" si="14"/>
        <v>10.155237565000002</v>
      </c>
      <c r="I116" s="11">
        <f t="shared" si="15"/>
        <v>0</v>
      </c>
      <c r="J116" s="11">
        <f t="shared" si="23"/>
        <v>8.8700513000000019</v>
      </c>
      <c r="K116" s="11">
        <f t="shared" si="16"/>
        <v>0</v>
      </c>
      <c r="L116" s="11">
        <f t="shared" si="17"/>
        <v>7.3809186000000011</v>
      </c>
      <c r="M116" s="11">
        <f t="shared" si="18"/>
        <v>0</v>
      </c>
      <c r="N116" s="11">
        <f t="shared" si="19"/>
        <v>6.6039798000000012</v>
      </c>
      <c r="O116" s="11">
        <f t="shared" si="20"/>
        <v>0</v>
      </c>
      <c r="P116" s="11">
        <f t="shared" si="21"/>
        <v>5.9889032499999999</v>
      </c>
      <c r="Q116" s="11">
        <f t="shared" si="22"/>
        <v>0</v>
      </c>
    </row>
    <row r="117" spans="1:17" s="180" customFormat="1" ht="13.5" thickBot="1">
      <c r="A117" s="1328"/>
      <c r="B117" s="873"/>
      <c r="C117" s="532" t="s">
        <v>1142</v>
      </c>
      <c r="D117" s="960" t="s">
        <v>1143</v>
      </c>
      <c r="E117" s="174">
        <v>1883.48</v>
      </c>
      <c r="F117" s="52">
        <f t="shared" si="12"/>
        <v>1035.914</v>
      </c>
      <c r="G117" s="53">
        <f t="shared" si="13"/>
        <v>0</v>
      </c>
      <c r="H117" s="52">
        <f t="shared" si="14"/>
        <v>32.496622180000003</v>
      </c>
      <c r="I117" s="11">
        <f t="shared" si="15"/>
        <v>0</v>
      </c>
      <c r="J117" s="11">
        <f t="shared" si="23"/>
        <v>28.384043600000002</v>
      </c>
      <c r="K117" s="11">
        <f t="shared" si="16"/>
        <v>0</v>
      </c>
      <c r="L117" s="11">
        <f t="shared" si="17"/>
        <v>23.6188392</v>
      </c>
      <c r="M117" s="11">
        <f t="shared" si="18"/>
        <v>0</v>
      </c>
      <c r="N117" s="11">
        <f t="shared" si="19"/>
        <v>21.1326456</v>
      </c>
      <c r="O117" s="11">
        <f t="shared" si="20"/>
        <v>0</v>
      </c>
      <c r="P117" s="11">
        <f t="shared" si="21"/>
        <v>19.164408999999999</v>
      </c>
      <c r="Q117" s="11">
        <f t="shared" si="22"/>
        <v>0</v>
      </c>
    </row>
    <row r="118" spans="1:17" s="180" customFormat="1" ht="13.5" thickBot="1">
      <c r="A118" s="1328"/>
      <c r="B118" s="873"/>
      <c r="C118" s="532" t="s">
        <v>1321</v>
      </c>
      <c r="D118" s="960" t="s">
        <v>4102</v>
      </c>
      <c r="E118" s="172">
        <v>792.79</v>
      </c>
      <c r="F118" s="52">
        <f t="shared" si="12"/>
        <v>436.03450000000004</v>
      </c>
      <c r="G118" s="53">
        <f t="shared" si="13"/>
        <v>0</v>
      </c>
      <c r="H118" s="52">
        <f t="shared" si="14"/>
        <v>13.678402265000003</v>
      </c>
      <c r="I118" s="11">
        <f t="shared" si="15"/>
        <v>0</v>
      </c>
      <c r="J118" s="11">
        <f t="shared" si="23"/>
        <v>11.947345300000002</v>
      </c>
      <c r="K118" s="11">
        <f t="shared" si="16"/>
        <v>0</v>
      </c>
      <c r="L118" s="11">
        <f t="shared" si="17"/>
        <v>9.9415866000000008</v>
      </c>
      <c r="M118" s="11">
        <f t="shared" si="18"/>
        <v>0</v>
      </c>
      <c r="N118" s="11">
        <f t="shared" si="19"/>
        <v>8.8951038000000011</v>
      </c>
      <c r="O118" s="11">
        <f t="shared" si="20"/>
        <v>0</v>
      </c>
      <c r="P118" s="11">
        <f t="shared" si="21"/>
        <v>8.0666382500000005</v>
      </c>
      <c r="Q118" s="11">
        <f t="shared" si="22"/>
        <v>0</v>
      </c>
    </row>
    <row r="119" spans="1:17" s="180" customFormat="1" ht="13.5" thickBot="1">
      <c r="A119" s="1328"/>
      <c r="B119" s="873"/>
      <c r="C119" s="532" t="s">
        <v>1323</v>
      </c>
      <c r="D119" s="960" t="s">
        <v>1324</v>
      </c>
      <c r="E119" s="172">
        <v>647.45000000000005</v>
      </c>
      <c r="F119" s="52">
        <f t="shared" si="12"/>
        <v>356.09750000000008</v>
      </c>
      <c r="G119" s="53">
        <f t="shared" si="13"/>
        <v>0</v>
      </c>
      <c r="H119" s="52">
        <f t="shared" si="14"/>
        <v>11.170778575000003</v>
      </c>
      <c r="I119" s="11">
        <f t="shared" si="15"/>
        <v>0</v>
      </c>
      <c r="J119" s="11">
        <f t="shared" si="23"/>
        <v>9.7570715000000021</v>
      </c>
      <c r="K119" s="11">
        <f t="shared" si="16"/>
        <v>0</v>
      </c>
      <c r="L119" s="11">
        <f t="shared" si="17"/>
        <v>8.1190230000000021</v>
      </c>
      <c r="M119" s="11">
        <f t="shared" si="18"/>
        <v>0</v>
      </c>
      <c r="N119" s="11">
        <f t="shared" si="19"/>
        <v>7.2643890000000022</v>
      </c>
      <c r="O119" s="11">
        <f t="shared" si="20"/>
        <v>0</v>
      </c>
      <c r="P119" s="11">
        <f t="shared" si="21"/>
        <v>6.5878037500000008</v>
      </c>
      <c r="Q119" s="11">
        <f t="shared" si="22"/>
        <v>0</v>
      </c>
    </row>
    <row r="120" spans="1:17" s="180" customFormat="1" ht="13.5" thickBot="1">
      <c r="A120" s="1328"/>
      <c r="B120" s="873"/>
      <c r="C120" s="532" t="s">
        <v>1325</v>
      </c>
      <c r="D120" s="960" t="s">
        <v>1326</v>
      </c>
      <c r="E120" s="172">
        <v>1017.42</v>
      </c>
      <c r="F120" s="52">
        <f t="shared" si="12"/>
        <v>559.58100000000002</v>
      </c>
      <c r="G120" s="53">
        <f t="shared" si="13"/>
        <v>0</v>
      </c>
      <c r="H120" s="52">
        <f t="shared" si="14"/>
        <v>17.55405597</v>
      </c>
      <c r="I120" s="11">
        <f t="shared" si="15"/>
        <v>0</v>
      </c>
      <c r="J120" s="11">
        <f t="shared" si="23"/>
        <v>15.332519400000001</v>
      </c>
      <c r="K120" s="11">
        <f t="shared" si="16"/>
        <v>0</v>
      </c>
      <c r="L120" s="11">
        <f t="shared" si="17"/>
        <v>12.758446800000002</v>
      </c>
      <c r="M120" s="11">
        <f t="shared" si="18"/>
        <v>0</v>
      </c>
      <c r="N120" s="11">
        <f t="shared" si="19"/>
        <v>11.415452400000001</v>
      </c>
      <c r="O120" s="11">
        <f t="shared" si="20"/>
        <v>0</v>
      </c>
      <c r="P120" s="11">
        <f t="shared" si="21"/>
        <v>10.3522485</v>
      </c>
      <c r="Q120" s="11">
        <f t="shared" si="22"/>
        <v>0</v>
      </c>
    </row>
    <row r="121" spans="1:17" s="180" customFormat="1" ht="13.5" thickBot="1">
      <c r="A121" s="1328"/>
      <c r="B121" s="873"/>
      <c r="C121" s="891" t="s">
        <v>1347</v>
      </c>
      <c r="D121" s="575" t="s">
        <v>1348</v>
      </c>
      <c r="E121" s="174">
        <v>5541.13</v>
      </c>
      <c r="F121" s="52">
        <f t="shared" si="12"/>
        <v>3047.6215000000002</v>
      </c>
      <c r="G121" s="53">
        <f t="shared" si="13"/>
        <v>0</v>
      </c>
      <c r="H121" s="52">
        <f t="shared" si="14"/>
        <v>95.603886455000008</v>
      </c>
      <c r="I121" s="11">
        <f t="shared" si="15"/>
        <v>0</v>
      </c>
      <c r="J121" s="11">
        <f t="shared" si="23"/>
        <v>83.504829100000009</v>
      </c>
      <c r="K121" s="11">
        <f t="shared" si="16"/>
        <v>0</v>
      </c>
      <c r="L121" s="11">
        <f t="shared" si="17"/>
        <v>69.485770200000005</v>
      </c>
      <c r="M121" s="11">
        <f t="shared" si="18"/>
        <v>0</v>
      </c>
      <c r="N121" s="11">
        <f t="shared" si="19"/>
        <v>62.171478600000007</v>
      </c>
      <c r="O121" s="11">
        <f t="shared" si="20"/>
        <v>0</v>
      </c>
      <c r="P121" s="11">
        <f t="shared" si="21"/>
        <v>56.380997749999999</v>
      </c>
      <c r="Q121" s="11">
        <f t="shared" si="22"/>
        <v>0</v>
      </c>
    </row>
    <row r="122" spans="1:17" s="180" customFormat="1" ht="13.5" thickBot="1">
      <c r="A122" s="1328"/>
      <c r="B122" s="873"/>
      <c r="C122" s="532" t="s">
        <v>1229</v>
      </c>
      <c r="D122" s="960" t="s">
        <v>1230</v>
      </c>
      <c r="E122" s="172">
        <v>4436.03</v>
      </c>
      <c r="F122" s="52">
        <f t="shared" si="12"/>
        <v>2439.8164999999999</v>
      </c>
      <c r="G122" s="53">
        <f t="shared" si="13"/>
        <v>0</v>
      </c>
      <c r="H122" s="52">
        <f t="shared" si="14"/>
        <v>76.537043605000008</v>
      </c>
      <c r="I122" s="11">
        <f t="shared" si="15"/>
        <v>0</v>
      </c>
      <c r="J122" s="11">
        <f t="shared" si="23"/>
        <v>66.850972099999993</v>
      </c>
      <c r="K122" s="11">
        <f t="shared" si="16"/>
        <v>0</v>
      </c>
      <c r="L122" s="11">
        <f t="shared" si="17"/>
        <v>55.627816199999998</v>
      </c>
      <c r="M122" s="11">
        <f t="shared" si="18"/>
        <v>0</v>
      </c>
      <c r="N122" s="11">
        <f t="shared" si="19"/>
        <v>49.772256599999999</v>
      </c>
      <c r="O122" s="11">
        <f t="shared" si="20"/>
        <v>0</v>
      </c>
      <c r="P122" s="11">
        <f t="shared" si="21"/>
        <v>45.136605249999995</v>
      </c>
      <c r="Q122" s="11">
        <f t="shared" si="22"/>
        <v>0</v>
      </c>
    </row>
    <row r="123" spans="1:17" s="180" customFormat="1" ht="13.5" thickBot="1">
      <c r="A123" s="1328"/>
      <c r="B123" s="873"/>
      <c r="C123" s="891" t="s">
        <v>4033</v>
      </c>
      <c r="D123" s="575" t="s">
        <v>4034</v>
      </c>
      <c r="E123" s="174">
        <v>6344.79</v>
      </c>
      <c r="F123" s="52">
        <f t="shared" si="12"/>
        <v>3489.6345000000001</v>
      </c>
      <c r="G123" s="53">
        <f t="shared" si="13"/>
        <v>0</v>
      </c>
      <c r="H123" s="52">
        <f t="shared" si="14"/>
        <v>109.46983426500002</v>
      </c>
      <c r="I123" s="11">
        <f t="shared" si="15"/>
        <v>0</v>
      </c>
      <c r="J123" s="11">
        <f t="shared" si="23"/>
        <v>95.615985300000006</v>
      </c>
      <c r="K123" s="11">
        <f t="shared" si="16"/>
        <v>0</v>
      </c>
      <c r="L123" s="11">
        <f t="shared" si="17"/>
        <v>79.563666600000005</v>
      </c>
      <c r="M123" s="11">
        <f t="shared" si="18"/>
        <v>0</v>
      </c>
      <c r="N123" s="11">
        <f t="shared" si="19"/>
        <v>71.188543800000005</v>
      </c>
      <c r="O123" s="11">
        <f t="shared" si="20"/>
        <v>0</v>
      </c>
      <c r="P123" s="11">
        <f t="shared" si="21"/>
        <v>64.558238250000002</v>
      </c>
      <c r="Q123" s="11">
        <f t="shared" si="22"/>
        <v>0</v>
      </c>
    </row>
    <row r="124" spans="1:17" s="180" customFormat="1" ht="13.5" thickBot="1">
      <c r="A124" s="1328"/>
      <c r="B124" s="873"/>
      <c r="C124" s="891" t="s">
        <v>1380</v>
      </c>
      <c r="D124" s="575" t="s">
        <v>4103</v>
      </c>
      <c r="E124" s="174">
        <v>1273.27</v>
      </c>
      <c r="F124" s="52">
        <f t="shared" si="12"/>
        <v>700.29849999999999</v>
      </c>
      <c r="G124" s="53">
        <f t="shared" si="13"/>
        <v>0</v>
      </c>
      <c r="H124" s="52">
        <f t="shared" si="14"/>
        <v>21.968363945</v>
      </c>
      <c r="I124" s="11">
        <f t="shared" si="15"/>
        <v>0</v>
      </c>
      <c r="J124" s="11">
        <f t="shared" si="23"/>
        <v>19.1881789</v>
      </c>
      <c r="K124" s="11">
        <f t="shared" si="16"/>
        <v>0</v>
      </c>
      <c r="L124" s="11">
        <f t="shared" si="17"/>
        <v>15.966805799999999</v>
      </c>
      <c r="M124" s="11">
        <f t="shared" si="18"/>
        <v>0</v>
      </c>
      <c r="N124" s="11">
        <f t="shared" si="19"/>
        <v>14.286089400000002</v>
      </c>
      <c r="O124" s="11">
        <f t="shared" si="20"/>
        <v>0</v>
      </c>
      <c r="P124" s="11">
        <f t="shared" si="21"/>
        <v>12.95552225</v>
      </c>
      <c r="Q124" s="11">
        <f t="shared" si="22"/>
        <v>0</v>
      </c>
    </row>
    <row r="125" spans="1:17" s="180" customFormat="1" ht="13.5" thickBot="1">
      <c r="A125" s="1328"/>
      <c r="B125" s="873"/>
      <c r="C125" s="532" t="s">
        <v>1152</v>
      </c>
      <c r="D125" s="960" t="s">
        <v>1231</v>
      </c>
      <c r="E125" s="172">
        <v>5018.6099999999997</v>
      </c>
      <c r="F125" s="8">
        <f t="shared" si="12"/>
        <v>2760.2355000000002</v>
      </c>
      <c r="G125" s="9">
        <f t="shared" si="13"/>
        <v>0</v>
      </c>
      <c r="H125" s="52">
        <f t="shared" si="14"/>
        <v>86.58858763500001</v>
      </c>
      <c r="I125" s="11">
        <f t="shared" si="15"/>
        <v>0</v>
      </c>
      <c r="J125" s="11">
        <f t="shared" si="23"/>
        <v>75.630452700000006</v>
      </c>
      <c r="K125" s="11">
        <f t="shared" si="16"/>
        <v>0</v>
      </c>
      <c r="L125" s="11">
        <f t="shared" si="17"/>
        <v>62.933369400000011</v>
      </c>
      <c r="M125" s="11">
        <f t="shared" si="18"/>
        <v>0</v>
      </c>
      <c r="N125" s="11">
        <f t="shared" si="19"/>
        <v>56.308804200000012</v>
      </c>
      <c r="O125" s="11">
        <f t="shared" si="20"/>
        <v>0</v>
      </c>
      <c r="P125" s="11">
        <f t="shared" si="21"/>
        <v>51.064356750000002</v>
      </c>
      <c r="Q125" s="11">
        <f t="shared" si="22"/>
        <v>0</v>
      </c>
    </row>
    <row r="126" spans="1:17" s="180" customFormat="1" ht="13.5" thickBot="1">
      <c r="A126" s="1328"/>
      <c r="B126" s="873"/>
      <c r="C126" s="891" t="s">
        <v>1232</v>
      </c>
      <c r="D126" s="575" t="s">
        <v>1233</v>
      </c>
      <c r="E126" s="174">
        <v>59245.59</v>
      </c>
      <c r="F126" s="52">
        <f t="shared" si="12"/>
        <v>32585.074500000002</v>
      </c>
      <c r="G126" s="53">
        <f t="shared" si="13"/>
        <v>0</v>
      </c>
      <c r="H126" s="52">
        <f t="shared" si="14"/>
        <v>1022.1937870650002</v>
      </c>
      <c r="I126" s="11">
        <f t="shared" si="15"/>
        <v>0</v>
      </c>
      <c r="J126" s="11">
        <f t="shared" si="23"/>
        <v>892.83104130000004</v>
      </c>
      <c r="K126" s="11">
        <f t="shared" si="16"/>
        <v>0</v>
      </c>
      <c r="L126" s="11">
        <f t="shared" si="17"/>
        <v>742.93969860000004</v>
      </c>
      <c r="M126" s="11">
        <f t="shared" si="18"/>
        <v>0</v>
      </c>
      <c r="N126" s="11">
        <f t="shared" si="19"/>
        <v>664.73551980000013</v>
      </c>
      <c r="O126" s="11">
        <f t="shared" si="20"/>
        <v>0</v>
      </c>
      <c r="P126" s="11">
        <f t="shared" si="21"/>
        <v>602.82387825000001</v>
      </c>
      <c r="Q126" s="11">
        <f t="shared" si="22"/>
        <v>0</v>
      </c>
    </row>
    <row r="127" spans="1:17" s="180" customFormat="1" ht="13.5" thickBot="1">
      <c r="A127" s="1328"/>
      <c r="B127" s="873"/>
      <c r="C127" s="532" t="s">
        <v>3961</v>
      </c>
      <c r="D127" s="960" t="s">
        <v>1234</v>
      </c>
      <c r="E127" s="174">
        <v>7399.39</v>
      </c>
      <c r="F127" s="52">
        <f t="shared" si="12"/>
        <v>4069.6645000000003</v>
      </c>
      <c r="G127" s="53">
        <f t="shared" si="13"/>
        <v>0</v>
      </c>
      <c r="H127" s="52">
        <f t="shared" si="14"/>
        <v>127.66537536500002</v>
      </c>
      <c r="I127" s="11">
        <f t="shared" si="15"/>
        <v>0</v>
      </c>
      <c r="J127" s="11">
        <f>F127*0.02564</f>
        <v>104.34619778000001</v>
      </c>
      <c r="K127" s="11">
        <f t="shared" si="16"/>
        <v>0</v>
      </c>
      <c r="L127" s="11">
        <f>F127*0.0256</f>
        <v>104.18341120000001</v>
      </c>
      <c r="M127" s="11">
        <f t="shared" si="18"/>
        <v>0</v>
      </c>
      <c r="N127" s="11">
        <f t="shared" si="19"/>
        <v>83.021155800000017</v>
      </c>
      <c r="O127" s="11">
        <f t="shared" si="20"/>
        <v>0</v>
      </c>
      <c r="P127" s="11">
        <f t="shared" si="21"/>
        <v>75.288793249999998</v>
      </c>
      <c r="Q127" s="11">
        <f t="shared" si="22"/>
        <v>0</v>
      </c>
    </row>
    <row r="128" spans="1:17" s="180" customFormat="1" ht="13.5" thickBot="1">
      <c r="A128" s="1328"/>
      <c r="B128" s="873"/>
      <c r="C128" s="532" t="s">
        <v>1235</v>
      </c>
      <c r="D128" s="960" t="s">
        <v>1381</v>
      </c>
      <c r="E128" s="172">
        <v>5179.58</v>
      </c>
      <c r="F128" s="52">
        <f t="shared" si="12"/>
        <v>2848.7690000000002</v>
      </c>
      <c r="G128" s="53">
        <f t="shared" si="13"/>
        <v>0</v>
      </c>
      <c r="H128" s="52">
        <f t="shared" si="14"/>
        <v>89.365883530000019</v>
      </c>
      <c r="I128" s="11">
        <f t="shared" si="15"/>
        <v>0</v>
      </c>
      <c r="J128" s="11">
        <f t="shared" ref="J128:J134" si="24">F128*0.0274</f>
        <v>78.056270600000005</v>
      </c>
      <c r="K128" s="11">
        <f t="shared" si="16"/>
        <v>0</v>
      </c>
      <c r="L128" s="11">
        <f t="shared" ref="L128:L138" si="25">F128*0.0228</f>
        <v>64.951933200000013</v>
      </c>
      <c r="M128" s="11">
        <f t="shared" si="18"/>
        <v>0</v>
      </c>
      <c r="N128" s="11">
        <f t="shared" si="19"/>
        <v>58.11488760000001</v>
      </c>
      <c r="O128" s="11">
        <f t="shared" si="20"/>
        <v>0</v>
      </c>
      <c r="P128" s="11">
        <f t="shared" si="21"/>
        <v>52.702226500000002</v>
      </c>
      <c r="Q128" s="11">
        <f t="shared" si="22"/>
        <v>0</v>
      </c>
    </row>
    <row r="129" spans="1:17" s="180" customFormat="1" ht="13.5" thickBot="1">
      <c r="A129" s="1328"/>
      <c r="B129" s="873"/>
      <c r="C129" s="532" t="s">
        <v>1382</v>
      </c>
      <c r="D129" s="960" t="s">
        <v>1407</v>
      </c>
      <c r="E129" s="172">
        <v>15347.73</v>
      </c>
      <c r="F129" s="52">
        <f t="shared" si="12"/>
        <v>8441.2515000000003</v>
      </c>
      <c r="G129" s="53">
        <f t="shared" si="13"/>
        <v>0</v>
      </c>
      <c r="H129" s="52">
        <f t="shared" si="14"/>
        <v>264.80205955500003</v>
      </c>
      <c r="I129" s="11">
        <f t="shared" si="15"/>
        <v>0</v>
      </c>
      <c r="J129" s="11">
        <f t="shared" si="24"/>
        <v>231.29029110000002</v>
      </c>
      <c r="K129" s="11">
        <f t="shared" si="16"/>
        <v>0</v>
      </c>
      <c r="L129" s="11">
        <f t="shared" si="25"/>
        <v>192.46053420000001</v>
      </c>
      <c r="M129" s="11">
        <f t="shared" si="18"/>
        <v>0</v>
      </c>
      <c r="N129" s="11">
        <f t="shared" si="19"/>
        <v>172.20153060000001</v>
      </c>
      <c r="O129" s="11">
        <f t="shared" si="20"/>
        <v>0</v>
      </c>
      <c r="P129" s="11">
        <f t="shared" si="21"/>
        <v>156.16315274999999</v>
      </c>
      <c r="Q129" s="11">
        <f t="shared" si="22"/>
        <v>0</v>
      </c>
    </row>
    <row r="130" spans="1:17" s="180" customFormat="1" ht="13.5" thickBot="1">
      <c r="A130" s="1328"/>
      <c r="B130" s="873"/>
      <c r="C130" s="532" t="s">
        <v>1383</v>
      </c>
      <c r="D130" s="960" t="s">
        <v>1408</v>
      </c>
      <c r="E130" s="172">
        <v>27694.86</v>
      </c>
      <c r="F130" s="52">
        <f t="shared" si="12"/>
        <v>15232.173000000001</v>
      </c>
      <c r="G130" s="53">
        <f t="shared" si="13"/>
        <v>0</v>
      </c>
      <c r="H130" s="52">
        <f t="shared" si="14"/>
        <v>477.83326701000004</v>
      </c>
      <c r="I130" s="11">
        <f t="shared" si="15"/>
        <v>0</v>
      </c>
      <c r="J130" s="11">
        <f t="shared" si="24"/>
        <v>417.36154020000004</v>
      </c>
      <c r="K130" s="11">
        <f t="shared" si="16"/>
        <v>0</v>
      </c>
      <c r="L130" s="11">
        <f t="shared" si="25"/>
        <v>347.29354440000003</v>
      </c>
      <c r="M130" s="11">
        <f t="shared" si="18"/>
        <v>0</v>
      </c>
      <c r="N130" s="11">
        <f t="shared" si="19"/>
        <v>310.73632920000006</v>
      </c>
      <c r="O130" s="11">
        <f t="shared" si="20"/>
        <v>0</v>
      </c>
      <c r="P130" s="11">
        <f t="shared" si="21"/>
        <v>281.79520050000002</v>
      </c>
      <c r="Q130" s="11">
        <f t="shared" si="22"/>
        <v>0</v>
      </c>
    </row>
    <row r="131" spans="1:17" s="180" customFormat="1" ht="13.5" thickBot="1">
      <c r="A131" s="1328"/>
      <c r="B131" s="873"/>
      <c r="C131" s="532" t="s">
        <v>1384</v>
      </c>
      <c r="D131" s="960" t="s">
        <v>1385</v>
      </c>
      <c r="E131" s="172">
        <v>27853.42</v>
      </c>
      <c r="F131" s="52">
        <f t="shared" si="12"/>
        <v>15319.380999999999</v>
      </c>
      <c r="G131" s="53">
        <f t="shared" si="13"/>
        <v>0</v>
      </c>
      <c r="H131" s="52">
        <f t="shared" si="14"/>
        <v>480.56898197000004</v>
      </c>
      <c r="I131" s="11">
        <f t="shared" si="15"/>
        <v>0</v>
      </c>
      <c r="J131" s="11">
        <f t="shared" si="24"/>
        <v>419.75103939999997</v>
      </c>
      <c r="K131" s="11">
        <f t="shared" si="16"/>
        <v>0</v>
      </c>
      <c r="L131" s="11">
        <f t="shared" si="25"/>
        <v>349.2818868</v>
      </c>
      <c r="M131" s="11">
        <f t="shared" si="18"/>
        <v>0</v>
      </c>
      <c r="N131" s="11">
        <f t="shared" si="19"/>
        <v>312.51537239999999</v>
      </c>
      <c r="O131" s="11">
        <f t="shared" si="20"/>
        <v>0</v>
      </c>
      <c r="P131" s="11">
        <f t="shared" si="21"/>
        <v>283.40854849999999</v>
      </c>
      <c r="Q131" s="11">
        <f t="shared" si="22"/>
        <v>0</v>
      </c>
    </row>
    <row r="132" spans="1:17" s="180" customFormat="1" ht="13.5" thickBot="1">
      <c r="A132" s="1328"/>
      <c r="B132" s="873"/>
      <c r="C132" s="532" t="s">
        <v>1132</v>
      </c>
      <c r="D132" s="960" t="s">
        <v>1133</v>
      </c>
      <c r="E132" s="172">
        <v>1471.47</v>
      </c>
      <c r="F132" s="52">
        <f t="shared" si="12"/>
        <v>809.30850000000009</v>
      </c>
      <c r="G132" s="54">
        <f t="shared" si="13"/>
        <v>0</v>
      </c>
      <c r="H132" s="11">
        <f t="shared" si="14"/>
        <v>25.388007645000005</v>
      </c>
      <c r="I132" s="11">
        <f t="shared" si="15"/>
        <v>0</v>
      </c>
      <c r="J132" s="11">
        <f t="shared" si="24"/>
        <v>22.175052900000004</v>
      </c>
      <c r="K132" s="11">
        <f t="shared" si="16"/>
        <v>0</v>
      </c>
      <c r="L132" s="11">
        <f t="shared" si="25"/>
        <v>18.452233800000002</v>
      </c>
      <c r="M132" s="11">
        <f t="shared" si="18"/>
        <v>0</v>
      </c>
      <c r="N132" s="11">
        <f t="shared" si="19"/>
        <v>16.509893400000003</v>
      </c>
      <c r="O132" s="11">
        <f t="shared" si="20"/>
        <v>0</v>
      </c>
      <c r="P132" s="11">
        <f t="shared" si="21"/>
        <v>14.97220725</v>
      </c>
      <c r="Q132" s="11">
        <f t="shared" si="22"/>
        <v>0</v>
      </c>
    </row>
    <row r="133" spans="1:17" s="180" customFormat="1" ht="13.5" thickBot="1">
      <c r="A133" s="1328"/>
      <c r="B133" s="873"/>
      <c r="C133" s="532" t="s">
        <v>1150</v>
      </c>
      <c r="D133" s="960" t="s">
        <v>1151</v>
      </c>
      <c r="E133" s="172">
        <v>1103.9100000000001</v>
      </c>
      <c r="F133" s="8">
        <f t="shared" si="12"/>
        <v>607.15050000000008</v>
      </c>
      <c r="G133" s="10">
        <f t="shared" si="13"/>
        <v>0</v>
      </c>
      <c r="H133" s="11">
        <f t="shared" si="14"/>
        <v>19.046311185000004</v>
      </c>
      <c r="I133" s="11">
        <f t="shared" si="15"/>
        <v>0</v>
      </c>
      <c r="J133" s="11">
        <f t="shared" si="24"/>
        <v>16.635923700000003</v>
      </c>
      <c r="K133" s="11">
        <f t="shared" si="16"/>
        <v>0</v>
      </c>
      <c r="L133" s="11">
        <f t="shared" si="25"/>
        <v>13.843031400000003</v>
      </c>
      <c r="M133" s="11">
        <f t="shared" si="18"/>
        <v>0</v>
      </c>
      <c r="N133" s="11">
        <f t="shared" si="19"/>
        <v>12.385870200000003</v>
      </c>
      <c r="O133" s="11">
        <f t="shared" si="20"/>
        <v>0</v>
      </c>
      <c r="P133" s="11">
        <f t="shared" si="21"/>
        <v>11.232284250000001</v>
      </c>
      <c r="Q133" s="11">
        <f t="shared" si="22"/>
        <v>0</v>
      </c>
    </row>
    <row r="134" spans="1:17" s="180" customFormat="1" ht="13.5" thickBot="1">
      <c r="A134" s="1328"/>
      <c r="B134" s="873"/>
      <c r="C134" s="891" t="s">
        <v>3966</v>
      </c>
      <c r="D134" s="575" t="s">
        <v>3967</v>
      </c>
      <c r="E134" s="174">
        <v>31146.560000000001</v>
      </c>
      <c r="F134" s="52">
        <f t="shared" si="12"/>
        <v>17130.608000000004</v>
      </c>
      <c r="G134" s="54">
        <f t="shared" si="13"/>
        <v>0</v>
      </c>
      <c r="H134" s="11">
        <f t="shared" si="14"/>
        <v>537.38717296000016</v>
      </c>
      <c r="I134" s="11">
        <f t="shared" si="15"/>
        <v>0</v>
      </c>
      <c r="J134" s="11">
        <f t="shared" si="24"/>
        <v>469.37865920000013</v>
      </c>
      <c r="K134" s="11">
        <f t="shared" si="16"/>
        <v>0</v>
      </c>
      <c r="L134" s="11">
        <f t="shared" si="25"/>
        <v>390.57786240000013</v>
      </c>
      <c r="M134" s="11">
        <f t="shared" si="18"/>
        <v>0</v>
      </c>
      <c r="N134" s="11">
        <f t="shared" si="19"/>
        <v>349.46440320000011</v>
      </c>
      <c r="O134" s="11">
        <f t="shared" si="20"/>
        <v>0</v>
      </c>
      <c r="P134" s="11">
        <f t="shared" si="21"/>
        <v>316.91624800000005</v>
      </c>
      <c r="Q134" s="11">
        <f t="shared" si="22"/>
        <v>0</v>
      </c>
    </row>
    <row r="135" spans="1:17" s="180" customFormat="1" ht="13.5" thickBot="1">
      <c r="A135" s="1328"/>
      <c r="B135" s="873"/>
      <c r="C135" s="532">
        <v>13200002</v>
      </c>
      <c r="D135" s="960" t="s">
        <v>1240</v>
      </c>
      <c r="E135" s="174">
        <v>663.05</v>
      </c>
      <c r="F135" s="52">
        <f t="shared" si="12"/>
        <v>364.67750000000001</v>
      </c>
      <c r="G135" s="54">
        <f t="shared" si="13"/>
        <v>0</v>
      </c>
      <c r="H135" s="11">
        <f t="shared" si="14"/>
        <v>11.439933175</v>
      </c>
      <c r="I135" s="11">
        <f t="shared" si="15"/>
        <v>0</v>
      </c>
      <c r="J135" s="11">
        <f>F135*0.02564</f>
        <v>9.3503311</v>
      </c>
      <c r="K135" s="11">
        <f t="shared" si="16"/>
        <v>0</v>
      </c>
      <c r="L135" s="11">
        <f t="shared" si="25"/>
        <v>8.3146470000000008</v>
      </c>
      <c r="M135" s="11">
        <f t="shared" si="18"/>
        <v>0</v>
      </c>
      <c r="N135" s="11">
        <f t="shared" si="19"/>
        <v>7.4394210000000003</v>
      </c>
      <c r="O135" s="11">
        <f t="shared" si="20"/>
        <v>0</v>
      </c>
      <c r="P135" s="11">
        <f t="shared" si="21"/>
        <v>6.7465337500000002</v>
      </c>
      <c r="Q135" s="11">
        <f t="shared" si="22"/>
        <v>0</v>
      </c>
    </row>
    <row r="136" spans="1:17" s="180" customFormat="1" ht="13.5" thickBot="1">
      <c r="A136" s="1328"/>
      <c r="B136" s="873"/>
      <c r="C136" s="532" t="s">
        <v>1241</v>
      </c>
      <c r="D136" s="960" t="s">
        <v>1242</v>
      </c>
      <c r="E136" s="172">
        <v>7546.63</v>
      </c>
      <c r="F136" s="8">
        <f t="shared" si="12"/>
        <v>4150.6465000000007</v>
      </c>
      <c r="G136" s="10">
        <f t="shared" si="13"/>
        <v>0</v>
      </c>
      <c r="H136" s="11">
        <f t="shared" si="14"/>
        <v>130.20578070500002</v>
      </c>
      <c r="I136" s="11">
        <f t="shared" si="15"/>
        <v>0</v>
      </c>
      <c r="J136" s="11">
        <f>F136*0.0274</f>
        <v>113.72771410000003</v>
      </c>
      <c r="K136" s="11">
        <f t="shared" si="16"/>
        <v>0</v>
      </c>
      <c r="L136" s="11">
        <f t="shared" si="25"/>
        <v>94.634740200000024</v>
      </c>
      <c r="M136" s="11">
        <f t="shared" si="18"/>
        <v>0</v>
      </c>
      <c r="N136" s="11">
        <f t="shared" si="19"/>
        <v>84.673188600000017</v>
      </c>
      <c r="O136" s="11">
        <f t="shared" si="20"/>
        <v>0</v>
      </c>
      <c r="P136" s="11">
        <f t="shared" si="21"/>
        <v>76.786960250000007</v>
      </c>
      <c r="Q136" s="11">
        <f t="shared" si="22"/>
        <v>0</v>
      </c>
    </row>
    <row r="137" spans="1:17" s="180" customFormat="1" ht="13.5" thickBot="1">
      <c r="A137" s="1328"/>
      <c r="B137" s="873"/>
      <c r="C137" s="532" t="s">
        <v>4016</v>
      </c>
      <c r="D137" s="960" t="s">
        <v>4017</v>
      </c>
      <c r="E137" s="172">
        <v>725.2</v>
      </c>
      <c r="F137" s="8">
        <f t="shared" si="12"/>
        <v>398.86000000000007</v>
      </c>
      <c r="G137" s="10">
        <f t="shared" si="13"/>
        <v>0</v>
      </c>
      <c r="H137" s="11">
        <f t="shared" si="14"/>
        <v>12.512238200000002</v>
      </c>
      <c r="I137" s="11">
        <f t="shared" si="15"/>
        <v>0</v>
      </c>
      <c r="J137" s="11">
        <f>F137*0.0274</f>
        <v>10.928764000000003</v>
      </c>
      <c r="K137" s="11">
        <f t="shared" si="16"/>
        <v>0</v>
      </c>
      <c r="L137" s="11">
        <f t="shared" si="25"/>
        <v>9.0940080000000023</v>
      </c>
      <c r="M137" s="11">
        <f t="shared" si="18"/>
        <v>0</v>
      </c>
      <c r="N137" s="11">
        <f t="shared" si="19"/>
        <v>8.136744000000002</v>
      </c>
      <c r="O137" s="11">
        <f t="shared" si="20"/>
        <v>0</v>
      </c>
      <c r="P137" s="11">
        <f t="shared" si="21"/>
        <v>7.3789100000000012</v>
      </c>
      <c r="Q137" s="11">
        <f t="shared" si="22"/>
        <v>0</v>
      </c>
    </row>
    <row r="138" spans="1:17" s="180" customFormat="1" ht="13.5" thickBot="1">
      <c r="A138" s="1328"/>
      <c r="B138" s="873"/>
      <c r="C138" s="796" t="s">
        <v>4018</v>
      </c>
      <c r="D138" s="961" t="s">
        <v>4019</v>
      </c>
      <c r="E138" s="177">
        <v>17592.400000000001</v>
      </c>
      <c r="F138" s="8">
        <f t="shared" si="12"/>
        <v>9675.8200000000015</v>
      </c>
      <c r="G138" s="10">
        <f t="shared" si="13"/>
        <v>0</v>
      </c>
      <c r="H138" s="11">
        <f t="shared" si="14"/>
        <v>303.53047340000006</v>
      </c>
      <c r="I138" s="11">
        <f t="shared" si="15"/>
        <v>0</v>
      </c>
      <c r="J138" s="11">
        <f>F138*0.0274</f>
        <v>265.11746800000003</v>
      </c>
      <c r="K138" s="11">
        <f t="shared" si="16"/>
        <v>0</v>
      </c>
      <c r="L138" s="11">
        <f t="shared" si="25"/>
        <v>220.60869600000004</v>
      </c>
      <c r="M138" s="11">
        <f t="shared" si="18"/>
        <v>0</v>
      </c>
      <c r="N138" s="11">
        <f t="shared" si="19"/>
        <v>197.38672800000003</v>
      </c>
      <c r="O138" s="11">
        <f t="shared" si="20"/>
        <v>0</v>
      </c>
      <c r="P138" s="11">
        <f t="shared" si="21"/>
        <v>179.00267000000002</v>
      </c>
      <c r="Q138" s="11">
        <f t="shared" si="22"/>
        <v>0</v>
      </c>
    </row>
    <row r="139" spans="1:17" s="180" customFormat="1" ht="13.5" thickBot="1">
      <c r="A139" s="1328"/>
      <c r="B139" s="873"/>
      <c r="C139" s="532" t="s">
        <v>1243</v>
      </c>
      <c r="D139" s="960" t="s">
        <v>1244</v>
      </c>
      <c r="E139" s="174">
        <v>51145.96</v>
      </c>
      <c r="F139" s="52">
        <f t="shared" si="12"/>
        <v>28130.278000000002</v>
      </c>
      <c r="G139" s="54">
        <f t="shared" si="13"/>
        <v>0</v>
      </c>
      <c r="H139" s="11">
        <f t="shared" si="14"/>
        <v>882.44682086000012</v>
      </c>
      <c r="I139" s="11">
        <f t="shared" si="15"/>
        <v>0</v>
      </c>
      <c r="J139" s="11">
        <f>F139*0.02564</f>
        <v>721.26032792000001</v>
      </c>
      <c r="K139" s="11">
        <f t="shared" si="16"/>
        <v>0</v>
      </c>
      <c r="L139" s="11">
        <f>F139*0.0256</f>
        <v>720.13511680000011</v>
      </c>
      <c r="M139" s="11">
        <f t="shared" si="18"/>
        <v>0</v>
      </c>
      <c r="N139" s="11">
        <f t="shared" si="19"/>
        <v>573.85767120000003</v>
      </c>
      <c r="O139" s="11">
        <f t="shared" si="20"/>
        <v>0</v>
      </c>
      <c r="P139" s="11">
        <f t="shared" si="21"/>
        <v>520.41014300000006</v>
      </c>
      <c r="Q139" s="11">
        <f t="shared" si="22"/>
        <v>0</v>
      </c>
    </row>
    <row r="140" spans="1:17" s="180" customFormat="1" ht="13.5" thickBot="1">
      <c r="A140" s="1328"/>
      <c r="B140" s="873"/>
      <c r="C140" s="532" t="s">
        <v>3970</v>
      </c>
      <c r="D140" s="960" t="s">
        <v>3971</v>
      </c>
      <c r="E140" s="172">
        <v>26114.75</v>
      </c>
      <c r="F140" s="8">
        <f t="shared" si="12"/>
        <v>14363.112500000001</v>
      </c>
      <c r="G140" s="10">
        <f t="shared" si="13"/>
        <v>0</v>
      </c>
      <c r="H140" s="11">
        <f t="shared" si="14"/>
        <v>450.57083912500008</v>
      </c>
      <c r="I140" s="11">
        <f t="shared" si="15"/>
        <v>0</v>
      </c>
      <c r="J140" s="11">
        <f t="shared" ref="J140:J160" si="26">F140*0.0274</f>
        <v>393.54928250000006</v>
      </c>
      <c r="K140" s="11">
        <f t="shared" si="16"/>
        <v>0</v>
      </c>
      <c r="L140" s="11">
        <f t="shared" ref="L140:L160" si="27">F140*0.0228</f>
        <v>327.47896500000002</v>
      </c>
      <c r="M140" s="11">
        <f t="shared" si="18"/>
        <v>0</v>
      </c>
      <c r="N140" s="11">
        <f t="shared" si="19"/>
        <v>293.00749500000006</v>
      </c>
      <c r="O140" s="11">
        <f t="shared" si="20"/>
        <v>0</v>
      </c>
      <c r="P140" s="11">
        <f t="shared" si="21"/>
        <v>265.71758125000002</v>
      </c>
      <c r="Q140" s="11">
        <f t="shared" si="22"/>
        <v>0</v>
      </c>
    </row>
    <row r="141" spans="1:17" s="180" customFormat="1" ht="13.5" thickBot="1">
      <c r="A141" s="1328"/>
      <c r="B141" s="873"/>
      <c r="C141" s="532">
        <v>13700022</v>
      </c>
      <c r="D141" s="960" t="s">
        <v>1245</v>
      </c>
      <c r="E141" s="172">
        <v>18623.990000000002</v>
      </c>
      <c r="F141" s="8">
        <f t="shared" si="12"/>
        <v>10243.194500000001</v>
      </c>
      <c r="G141" s="10">
        <f t="shared" si="13"/>
        <v>0</v>
      </c>
      <c r="H141" s="11">
        <f t="shared" si="14"/>
        <v>321.32901146500006</v>
      </c>
      <c r="I141" s="11">
        <f t="shared" si="15"/>
        <v>0</v>
      </c>
      <c r="J141" s="11">
        <f t="shared" si="26"/>
        <v>280.66352930000005</v>
      </c>
      <c r="K141" s="11">
        <f t="shared" si="16"/>
        <v>0</v>
      </c>
      <c r="L141" s="11">
        <f t="shared" si="27"/>
        <v>233.54483460000003</v>
      </c>
      <c r="M141" s="11">
        <f t="shared" si="18"/>
        <v>0</v>
      </c>
      <c r="N141" s="11">
        <f t="shared" si="19"/>
        <v>208.96116780000006</v>
      </c>
      <c r="O141" s="11">
        <f t="shared" si="20"/>
        <v>0</v>
      </c>
      <c r="P141" s="11">
        <f t="shared" si="21"/>
        <v>189.49909825</v>
      </c>
      <c r="Q141" s="11">
        <f t="shared" si="22"/>
        <v>0</v>
      </c>
    </row>
    <row r="142" spans="1:17" s="180" customFormat="1" ht="13.5" thickBot="1">
      <c r="A142" s="1328"/>
      <c r="B142" s="873"/>
      <c r="C142" s="532" t="s">
        <v>1249</v>
      </c>
      <c r="D142" s="960" t="s">
        <v>1250</v>
      </c>
      <c r="E142" s="172">
        <v>4733.1899999999996</v>
      </c>
      <c r="F142" s="8">
        <f t="shared" si="12"/>
        <v>2603.2545</v>
      </c>
      <c r="G142" s="10">
        <f t="shared" si="13"/>
        <v>0</v>
      </c>
      <c r="H142" s="11">
        <f t="shared" si="14"/>
        <v>81.66409366500001</v>
      </c>
      <c r="I142" s="11">
        <f t="shared" si="15"/>
        <v>0</v>
      </c>
      <c r="J142" s="11">
        <f t="shared" si="26"/>
        <v>71.329173300000008</v>
      </c>
      <c r="K142" s="11">
        <f t="shared" si="16"/>
        <v>0</v>
      </c>
      <c r="L142" s="11">
        <f t="shared" si="27"/>
        <v>59.354202600000001</v>
      </c>
      <c r="M142" s="11">
        <f t="shared" si="18"/>
        <v>0</v>
      </c>
      <c r="N142" s="11">
        <f t="shared" si="19"/>
        <v>53.106391800000004</v>
      </c>
      <c r="O142" s="11">
        <f t="shared" si="20"/>
        <v>0</v>
      </c>
      <c r="P142" s="11">
        <f t="shared" si="21"/>
        <v>48.160208249999997</v>
      </c>
      <c r="Q142" s="11">
        <f t="shared" si="22"/>
        <v>0</v>
      </c>
    </row>
    <row r="143" spans="1:17" s="180" customFormat="1" ht="13.5" thickBot="1">
      <c r="A143" s="1328"/>
      <c r="B143" s="873"/>
      <c r="C143" s="532" t="s">
        <v>1146</v>
      </c>
      <c r="D143" s="960" t="s">
        <v>1147</v>
      </c>
      <c r="E143" s="172">
        <v>11627.62</v>
      </c>
      <c r="F143" s="52">
        <f t="shared" si="12"/>
        <v>6395.1910000000007</v>
      </c>
      <c r="G143" s="54">
        <f t="shared" si="13"/>
        <v>0</v>
      </c>
      <c r="H143" s="11">
        <f t="shared" si="14"/>
        <v>200.61714167000002</v>
      </c>
      <c r="I143" s="11">
        <f t="shared" si="15"/>
        <v>0</v>
      </c>
      <c r="J143" s="11">
        <f t="shared" si="26"/>
        <v>175.22823340000002</v>
      </c>
      <c r="K143" s="11">
        <f t="shared" si="16"/>
        <v>0</v>
      </c>
      <c r="L143" s="11">
        <f t="shared" si="27"/>
        <v>145.81035480000003</v>
      </c>
      <c r="M143" s="11">
        <f t="shared" si="18"/>
        <v>0</v>
      </c>
      <c r="N143" s="11">
        <f t="shared" si="19"/>
        <v>130.46189640000003</v>
      </c>
      <c r="O143" s="11">
        <f t="shared" si="20"/>
        <v>0</v>
      </c>
      <c r="P143" s="11">
        <f t="shared" si="21"/>
        <v>118.31103350000001</v>
      </c>
      <c r="Q143" s="11">
        <f t="shared" si="22"/>
        <v>0</v>
      </c>
    </row>
    <row r="144" spans="1:17" s="180" customFormat="1" ht="13.5" thickBot="1">
      <c r="A144" s="1328"/>
      <c r="B144" s="873"/>
      <c r="C144" s="891" t="s">
        <v>1251</v>
      </c>
      <c r="D144" s="575" t="s">
        <v>1252</v>
      </c>
      <c r="E144" s="174">
        <v>6666.66</v>
      </c>
      <c r="F144" s="52">
        <f t="shared" si="12"/>
        <v>3666.663</v>
      </c>
      <c r="G144" s="54">
        <f t="shared" si="13"/>
        <v>0</v>
      </c>
      <c r="H144" s="11">
        <f t="shared" si="14"/>
        <v>115.02321831</v>
      </c>
      <c r="I144" s="11">
        <f t="shared" si="15"/>
        <v>0</v>
      </c>
      <c r="J144" s="11">
        <f t="shared" si="26"/>
        <v>100.4665662</v>
      </c>
      <c r="K144" s="11">
        <f t="shared" si="16"/>
        <v>0</v>
      </c>
      <c r="L144" s="11">
        <f t="shared" si="27"/>
        <v>83.599916399999998</v>
      </c>
      <c r="M144" s="11">
        <f t="shared" si="18"/>
        <v>0</v>
      </c>
      <c r="N144" s="11">
        <f t="shared" si="19"/>
        <v>74.799925200000004</v>
      </c>
      <c r="O144" s="11">
        <f t="shared" si="20"/>
        <v>0</v>
      </c>
      <c r="P144" s="11">
        <f t="shared" si="21"/>
        <v>67.833265499999996</v>
      </c>
      <c r="Q144" s="11">
        <f t="shared" si="22"/>
        <v>0</v>
      </c>
    </row>
    <row r="145" spans="1:17" s="180" customFormat="1" ht="13.5" thickBot="1">
      <c r="A145" s="1328"/>
      <c r="B145" s="873"/>
      <c r="C145" s="532" t="s">
        <v>1253</v>
      </c>
      <c r="D145" s="960" t="s">
        <v>1254</v>
      </c>
      <c r="E145" s="172">
        <v>36766.33</v>
      </c>
      <c r="F145" s="8">
        <f t="shared" si="12"/>
        <v>20221.481500000002</v>
      </c>
      <c r="G145" s="9">
        <f t="shared" si="13"/>
        <v>0</v>
      </c>
      <c r="H145" s="52">
        <f t="shared" si="14"/>
        <v>634.34787465500006</v>
      </c>
      <c r="I145" s="11">
        <f t="shared" si="15"/>
        <v>0</v>
      </c>
      <c r="J145" s="11">
        <f t="shared" si="26"/>
        <v>554.06859310000004</v>
      </c>
      <c r="K145" s="11">
        <f t="shared" si="16"/>
        <v>0</v>
      </c>
      <c r="L145" s="11">
        <f t="shared" si="27"/>
        <v>461.04977820000005</v>
      </c>
      <c r="M145" s="11">
        <f t="shared" si="18"/>
        <v>0</v>
      </c>
      <c r="N145" s="11">
        <f t="shared" si="19"/>
        <v>412.51822260000006</v>
      </c>
      <c r="O145" s="11">
        <f t="shared" si="20"/>
        <v>0</v>
      </c>
      <c r="P145" s="11">
        <f t="shared" si="21"/>
        <v>374.09740775</v>
      </c>
      <c r="Q145" s="11">
        <f t="shared" si="22"/>
        <v>0</v>
      </c>
    </row>
    <row r="146" spans="1:17" s="180" customFormat="1" ht="13.5" thickBot="1">
      <c r="A146" s="1328"/>
      <c r="B146" s="873"/>
      <c r="C146" s="532" t="s">
        <v>1136</v>
      </c>
      <c r="D146" s="960" t="s">
        <v>1137</v>
      </c>
      <c r="E146" s="172">
        <v>2613.81</v>
      </c>
      <c r="F146" s="8">
        <f t="shared" si="12"/>
        <v>1437.5955000000001</v>
      </c>
      <c r="G146" s="9">
        <f t="shared" si="13"/>
        <v>0</v>
      </c>
      <c r="H146" s="52">
        <f t="shared" si="14"/>
        <v>45.097370835000007</v>
      </c>
      <c r="I146" s="11">
        <f t="shared" si="15"/>
        <v>0</v>
      </c>
      <c r="J146" s="11">
        <f t="shared" si="26"/>
        <v>39.390116700000007</v>
      </c>
      <c r="K146" s="11">
        <f t="shared" si="16"/>
        <v>0</v>
      </c>
      <c r="L146" s="11">
        <f t="shared" si="27"/>
        <v>32.777177400000006</v>
      </c>
      <c r="M146" s="11">
        <f t="shared" si="18"/>
        <v>0</v>
      </c>
      <c r="N146" s="11">
        <f t="shared" si="19"/>
        <v>29.326948200000004</v>
      </c>
      <c r="O146" s="11">
        <f t="shared" si="20"/>
        <v>0</v>
      </c>
      <c r="P146" s="11">
        <f t="shared" si="21"/>
        <v>26.595516750000002</v>
      </c>
      <c r="Q146" s="11">
        <f t="shared" si="22"/>
        <v>0</v>
      </c>
    </row>
    <row r="147" spans="1:17" s="180" customFormat="1" ht="13.5" thickBot="1">
      <c r="A147" s="1328"/>
      <c r="B147" s="873"/>
      <c r="C147" s="532" t="s">
        <v>1255</v>
      </c>
      <c r="D147" s="960" t="s">
        <v>1256</v>
      </c>
      <c r="E147" s="172">
        <v>21425.81</v>
      </c>
      <c r="F147" s="8">
        <f t="shared" si="12"/>
        <v>11784.195500000002</v>
      </c>
      <c r="G147" s="9">
        <f t="shared" si="13"/>
        <v>0</v>
      </c>
      <c r="H147" s="52">
        <f t="shared" si="14"/>
        <v>369.67021283500009</v>
      </c>
      <c r="I147" s="11">
        <f t="shared" si="15"/>
        <v>0</v>
      </c>
      <c r="J147" s="11">
        <f t="shared" si="26"/>
        <v>322.88695670000004</v>
      </c>
      <c r="K147" s="11">
        <f t="shared" si="16"/>
        <v>0</v>
      </c>
      <c r="L147" s="11">
        <f t="shared" si="27"/>
        <v>268.67965740000005</v>
      </c>
      <c r="M147" s="11">
        <f t="shared" si="18"/>
        <v>0</v>
      </c>
      <c r="N147" s="11">
        <f t="shared" si="19"/>
        <v>240.39758820000006</v>
      </c>
      <c r="O147" s="11">
        <f t="shared" si="20"/>
        <v>0</v>
      </c>
      <c r="P147" s="11">
        <f t="shared" si="21"/>
        <v>218.00761675000001</v>
      </c>
      <c r="Q147" s="11">
        <f t="shared" si="22"/>
        <v>0</v>
      </c>
    </row>
    <row r="148" spans="1:17" s="180" customFormat="1" ht="13.5" thickBot="1">
      <c r="A148" s="1328"/>
      <c r="B148" s="873"/>
      <c r="C148" s="532" t="s">
        <v>1257</v>
      </c>
      <c r="D148" s="960" t="s">
        <v>1258</v>
      </c>
      <c r="E148" s="174">
        <v>21395.78</v>
      </c>
      <c r="F148" s="52">
        <f t="shared" si="12"/>
        <v>11767.679</v>
      </c>
      <c r="G148" s="53">
        <f t="shared" si="13"/>
        <v>0</v>
      </c>
      <c r="H148" s="52">
        <f t="shared" si="14"/>
        <v>369.15209023</v>
      </c>
      <c r="I148" s="11">
        <f t="shared" si="15"/>
        <v>0</v>
      </c>
      <c r="J148" s="11">
        <f t="shared" si="26"/>
        <v>322.43440459999999</v>
      </c>
      <c r="K148" s="11">
        <f t="shared" si="16"/>
        <v>0</v>
      </c>
      <c r="L148" s="11">
        <f t="shared" si="27"/>
        <v>268.30308120000001</v>
      </c>
      <c r="M148" s="11">
        <f t="shared" si="18"/>
        <v>0</v>
      </c>
      <c r="N148" s="11">
        <f t="shared" si="19"/>
        <v>240.06065160000003</v>
      </c>
      <c r="O148" s="11">
        <f t="shared" si="20"/>
        <v>0</v>
      </c>
      <c r="P148" s="11">
        <f t="shared" si="21"/>
        <v>217.70206149999999</v>
      </c>
      <c r="Q148" s="11">
        <f t="shared" si="22"/>
        <v>0</v>
      </c>
    </row>
    <row r="149" spans="1:17" s="180" customFormat="1" ht="13.5" thickBot="1">
      <c r="A149" s="1328"/>
      <c r="B149" s="873"/>
      <c r="C149" s="532" t="s">
        <v>1259</v>
      </c>
      <c r="D149" s="960" t="s">
        <v>1260</v>
      </c>
      <c r="E149" s="172">
        <v>6604.8</v>
      </c>
      <c r="F149" s="8">
        <f t="shared" ref="F149:F160" si="28">E149*(1-45%)</f>
        <v>3632.6400000000003</v>
      </c>
      <c r="G149" s="9">
        <f t="shared" ref="G149:G160" si="29">F149*B149</f>
        <v>0</v>
      </c>
      <c r="H149" s="52">
        <f t="shared" ref="H149:H160" si="30">F149*0.03137</f>
        <v>113.95591680000001</v>
      </c>
      <c r="I149" s="11">
        <f t="shared" ref="I149:I160" si="31">H149*B149</f>
        <v>0</v>
      </c>
      <c r="J149" s="11">
        <f t="shared" si="26"/>
        <v>99.53433600000001</v>
      </c>
      <c r="K149" s="11">
        <f t="shared" ref="K149:K160" si="32">J149*B149</f>
        <v>0</v>
      </c>
      <c r="L149" s="11">
        <f t="shared" si="27"/>
        <v>82.824192000000011</v>
      </c>
      <c r="M149" s="11">
        <f t="shared" ref="M149:M160" si="33">L149*B149</f>
        <v>0</v>
      </c>
      <c r="N149" s="11">
        <f t="shared" ref="N149:N160" si="34">F149*0.0204</f>
        <v>74.105856000000017</v>
      </c>
      <c r="O149" s="11">
        <f t="shared" ref="O149:O160" si="35">N149*B149</f>
        <v>0</v>
      </c>
      <c r="P149" s="11">
        <f t="shared" ref="P149:P160" si="36">F149*0.0185</f>
        <v>67.20384</v>
      </c>
      <c r="Q149" s="11">
        <f t="shared" ref="Q149:Q160" si="37">P149*B149</f>
        <v>0</v>
      </c>
    </row>
    <row r="150" spans="1:17" s="180" customFormat="1" ht="13.5" thickBot="1">
      <c r="A150" s="1328"/>
      <c r="B150" s="873"/>
      <c r="C150" s="796" t="s">
        <v>1261</v>
      </c>
      <c r="D150" s="961" t="s">
        <v>1262</v>
      </c>
      <c r="E150" s="177">
        <v>20929.71</v>
      </c>
      <c r="F150" s="8">
        <f t="shared" si="28"/>
        <v>11511.3405</v>
      </c>
      <c r="G150" s="9">
        <f t="shared" si="29"/>
        <v>0</v>
      </c>
      <c r="H150" s="52">
        <f t="shared" si="30"/>
        <v>361.11075148500004</v>
      </c>
      <c r="I150" s="11">
        <f t="shared" si="31"/>
        <v>0</v>
      </c>
      <c r="J150" s="11">
        <f t="shared" si="26"/>
        <v>315.41072969999999</v>
      </c>
      <c r="K150" s="11">
        <f t="shared" si="32"/>
        <v>0</v>
      </c>
      <c r="L150" s="11">
        <f t="shared" si="27"/>
        <v>262.4585634</v>
      </c>
      <c r="M150" s="11">
        <f t="shared" si="33"/>
        <v>0</v>
      </c>
      <c r="N150" s="11">
        <f t="shared" si="34"/>
        <v>234.83134620000001</v>
      </c>
      <c r="O150" s="11">
        <f t="shared" si="35"/>
        <v>0</v>
      </c>
      <c r="P150" s="11">
        <f t="shared" si="36"/>
        <v>212.95979925</v>
      </c>
      <c r="Q150" s="11">
        <f t="shared" si="37"/>
        <v>0</v>
      </c>
    </row>
    <row r="151" spans="1:17" s="180" customFormat="1" ht="13.5" thickBot="1">
      <c r="A151" s="1328"/>
      <c r="B151" s="873"/>
      <c r="C151" s="891" t="s">
        <v>3973</v>
      </c>
      <c r="D151" s="575" t="s">
        <v>3974</v>
      </c>
      <c r="E151" s="174">
        <v>6534.53</v>
      </c>
      <c r="F151" s="52">
        <f t="shared" si="28"/>
        <v>3593.9915000000001</v>
      </c>
      <c r="G151" s="53">
        <f t="shared" si="29"/>
        <v>0</v>
      </c>
      <c r="H151" s="52">
        <f t="shared" si="30"/>
        <v>112.743513355</v>
      </c>
      <c r="I151" s="11">
        <f t="shared" si="31"/>
        <v>0</v>
      </c>
      <c r="J151" s="11">
        <f t="shared" si="26"/>
        <v>98.4753671</v>
      </c>
      <c r="K151" s="11">
        <f t="shared" si="32"/>
        <v>0</v>
      </c>
      <c r="L151" s="11">
        <f t="shared" si="27"/>
        <v>81.943006199999999</v>
      </c>
      <c r="M151" s="11">
        <f t="shared" si="33"/>
        <v>0</v>
      </c>
      <c r="N151" s="11">
        <f t="shared" si="34"/>
        <v>73.317426600000005</v>
      </c>
      <c r="O151" s="11">
        <f t="shared" si="35"/>
        <v>0</v>
      </c>
      <c r="P151" s="11">
        <f t="shared" si="36"/>
        <v>66.488842750000003</v>
      </c>
      <c r="Q151" s="11">
        <f t="shared" si="37"/>
        <v>0</v>
      </c>
    </row>
    <row r="152" spans="1:17" s="180" customFormat="1" ht="13.5" thickBot="1">
      <c r="A152" s="1328"/>
      <c r="B152" s="873"/>
      <c r="C152" s="891" t="s">
        <v>3975</v>
      </c>
      <c r="D152" s="575" t="s">
        <v>3976</v>
      </c>
      <c r="E152" s="174">
        <v>43398.58</v>
      </c>
      <c r="F152" s="52">
        <f t="shared" si="28"/>
        <v>23869.219000000005</v>
      </c>
      <c r="G152" s="53">
        <f t="shared" si="29"/>
        <v>0</v>
      </c>
      <c r="H152" s="52">
        <f t="shared" si="30"/>
        <v>748.77740003000019</v>
      </c>
      <c r="I152" s="11">
        <f t="shared" si="31"/>
        <v>0</v>
      </c>
      <c r="J152" s="11">
        <f t="shared" si="26"/>
        <v>654.01660060000017</v>
      </c>
      <c r="K152" s="11">
        <f t="shared" si="32"/>
        <v>0</v>
      </c>
      <c r="L152" s="11">
        <f t="shared" si="27"/>
        <v>544.21819320000009</v>
      </c>
      <c r="M152" s="11">
        <f t="shared" si="33"/>
        <v>0</v>
      </c>
      <c r="N152" s="11">
        <f t="shared" si="34"/>
        <v>486.93206760000015</v>
      </c>
      <c r="O152" s="11">
        <f t="shared" si="35"/>
        <v>0</v>
      </c>
      <c r="P152" s="11">
        <f t="shared" si="36"/>
        <v>441.58055150000007</v>
      </c>
      <c r="Q152" s="11">
        <f t="shared" si="37"/>
        <v>0</v>
      </c>
    </row>
    <row r="153" spans="1:17" s="180" customFormat="1" ht="13.5" thickBot="1">
      <c r="A153" s="1328"/>
      <c r="B153" s="873"/>
      <c r="C153" s="532" t="s">
        <v>1331</v>
      </c>
      <c r="D153" s="960" t="s">
        <v>4104</v>
      </c>
      <c r="E153" s="172">
        <v>3303.3</v>
      </c>
      <c r="F153" s="8">
        <f t="shared" si="28"/>
        <v>1816.8150000000003</v>
      </c>
      <c r="G153" s="9">
        <f t="shared" si="29"/>
        <v>0</v>
      </c>
      <c r="H153" s="52">
        <f t="shared" si="30"/>
        <v>56.993486550000014</v>
      </c>
      <c r="I153" s="11">
        <f t="shared" si="31"/>
        <v>0</v>
      </c>
      <c r="J153" s="11">
        <f t="shared" si="26"/>
        <v>49.78073100000001</v>
      </c>
      <c r="K153" s="11">
        <f t="shared" si="32"/>
        <v>0</v>
      </c>
      <c r="L153" s="11">
        <f t="shared" si="27"/>
        <v>41.423382000000011</v>
      </c>
      <c r="M153" s="11">
        <f t="shared" si="33"/>
        <v>0</v>
      </c>
      <c r="N153" s="11">
        <f t="shared" si="34"/>
        <v>37.063026000000008</v>
      </c>
      <c r="O153" s="11">
        <f t="shared" si="35"/>
        <v>0</v>
      </c>
      <c r="P153" s="11">
        <f t="shared" si="36"/>
        <v>33.6110775</v>
      </c>
      <c r="Q153" s="11">
        <f t="shared" si="37"/>
        <v>0</v>
      </c>
    </row>
    <row r="154" spans="1:17" s="180" customFormat="1" ht="13.5" thickBot="1">
      <c r="A154" s="1328"/>
      <c r="B154" s="873"/>
      <c r="C154" s="532" t="s">
        <v>1349</v>
      </c>
      <c r="D154" s="960" t="s">
        <v>1386</v>
      </c>
      <c r="E154" s="172">
        <v>1189.19</v>
      </c>
      <c r="F154" s="52">
        <f t="shared" si="28"/>
        <v>654.05450000000008</v>
      </c>
      <c r="G154" s="53">
        <f t="shared" si="29"/>
        <v>0</v>
      </c>
      <c r="H154" s="52">
        <f t="shared" si="30"/>
        <v>20.517689665000002</v>
      </c>
      <c r="I154" s="11">
        <f t="shared" si="31"/>
        <v>0</v>
      </c>
      <c r="J154" s="11">
        <f t="shared" si="26"/>
        <v>17.921093300000003</v>
      </c>
      <c r="K154" s="11">
        <f t="shared" si="32"/>
        <v>0</v>
      </c>
      <c r="L154" s="11">
        <f t="shared" si="27"/>
        <v>14.912442600000002</v>
      </c>
      <c r="M154" s="11">
        <f t="shared" si="33"/>
        <v>0</v>
      </c>
      <c r="N154" s="11">
        <f t="shared" si="34"/>
        <v>13.342711800000002</v>
      </c>
      <c r="O154" s="11">
        <f t="shared" si="35"/>
        <v>0</v>
      </c>
      <c r="P154" s="11">
        <f t="shared" si="36"/>
        <v>12.10000825</v>
      </c>
      <c r="Q154" s="11">
        <f t="shared" si="37"/>
        <v>0</v>
      </c>
    </row>
    <row r="155" spans="1:17" s="180" customFormat="1" ht="13.5" thickBot="1">
      <c r="A155" s="1328"/>
      <c r="B155" s="873"/>
      <c r="C155" s="891" t="s">
        <v>1265</v>
      </c>
      <c r="D155" s="575" t="s">
        <v>1280</v>
      </c>
      <c r="E155" s="174">
        <v>10828.82</v>
      </c>
      <c r="F155" s="52">
        <f t="shared" si="28"/>
        <v>5955.8510000000006</v>
      </c>
      <c r="G155" s="53">
        <f t="shared" si="29"/>
        <v>0</v>
      </c>
      <c r="H155" s="52">
        <f t="shared" si="30"/>
        <v>186.83504587000002</v>
      </c>
      <c r="I155" s="11">
        <f t="shared" si="31"/>
        <v>0</v>
      </c>
      <c r="J155" s="11">
        <f t="shared" si="26"/>
        <v>163.19031740000003</v>
      </c>
      <c r="K155" s="11">
        <f t="shared" si="32"/>
        <v>0</v>
      </c>
      <c r="L155" s="11">
        <f t="shared" si="27"/>
        <v>135.79340280000002</v>
      </c>
      <c r="M155" s="11">
        <f t="shared" si="33"/>
        <v>0</v>
      </c>
      <c r="N155" s="11">
        <f t="shared" si="34"/>
        <v>121.49936040000001</v>
      </c>
      <c r="O155" s="11">
        <f t="shared" si="35"/>
        <v>0</v>
      </c>
      <c r="P155" s="11">
        <f t="shared" si="36"/>
        <v>110.1832435</v>
      </c>
      <c r="Q155" s="11">
        <f t="shared" si="37"/>
        <v>0</v>
      </c>
    </row>
    <row r="156" spans="1:17" s="180" customFormat="1" ht="13.5" thickBot="1">
      <c r="A156" s="1328"/>
      <c r="B156" s="873"/>
      <c r="C156" s="532" t="s">
        <v>1266</v>
      </c>
      <c r="D156" s="960" t="s">
        <v>1267</v>
      </c>
      <c r="E156" s="172">
        <v>5153.1499999999996</v>
      </c>
      <c r="F156" s="52">
        <f t="shared" si="28"/>
        <v>2834.2325000000001</v>
      </c>
      <c r="G156" s="53">
        <f t="shared" si="29"/>
        <v>0</v>
      </c>
      <c r="H156" s="52">
        <f t="shared" si="30"/>
        <v>88.909873525000009</v>
      </c>
      <c r="I156" s="11">
        <f t="shared" si="31"/>
        <v>0</v>
      </c>
      <c r="J156" s="11">
        <f t="shared" si="26"/>
        <v>77.657970500000005</v>
      </c>
      <c r="K156" s="11">
        <f t="shared" si="32"/>
        <v>0</v>
      </c>
      <c r="L156" s="11">
        <f t="shared" si="27"/>
        <v>64.620501000000004</v>
      </c>
      <c r="M156" s="11">
        <f t="shared" si="33"/>
        <v>0</v>
      </c>
      <c r="N156" s="11">
        <f t="shared" si="34"/>
        <v>57.818343000000006</v>
      </c>
      <c r="O156" s="11">
        <f t="shared" si="35"/>
        <v>0</v>
      </c>
      <c r="P156" s="11">
        <f t="shared" si="36"/>
        <v>52.43330125</v>
      </c>
      <c r="Q156" s="11">
        <f t="shared" si="37"/>
        <v>0</v>
      </c>
    </row>
    <row r="157" spans="1:17" s="180" customFormat="1" ht="13.5" thickBot="1">
      <c r="A157" s="1328"/>
      <c r="B157" s="873"/>
      <c r="C157" s="532" t="s">
        <v>1268</v>
      </c>
      <c r="D157" s="960" t="s">
        <v>1269</v>
      </c>
      <c r="E157" s="172">
        <v>24034.82</v>
      </c>
      <c r="F157" s="52">
        <f t="shared" si="28"/>
        <v>13219.151000000002</v>
      </c>
      <c r="G157" s="53">
        <f t="shared" si="29"/>
        <v>0</v>
      </c>
      <c r="H157" s="52">
        <f t="shared" si="30"/>
        <v>414.68476687000009</v>
      </c>
      <c r="I157" s="11">
        <f t="shared" si="31"/>
        <v>0</v>
      </c>
      <c r="J157" s="11">
        <f t="shared" si="26"/>
        <v>362.20473740000006</v>
      </c>
      <c r="K157" s="11">
        <f t="shared" si="32"/>
        <v>0</v>
      </c>
      <c r="L157" s="11">
        <f t="shared" si="27"/>
        <v>301.39664280000005</v>
      </c>
      <c r="M157" s="11">
        <f t="shared" si="33"/>
        <v>0</v>
      </c>
      <c r="N157" s="11">
        <f t="shared" si="34"/>
        <v>269.67068040000004</v>
      </c>
      <c r="O157" s="11">
        <f t="shared" si="35"/>
        <v>0</v>
      </c>
      <c r="P157" s="11">
        <f t="shared" si="36"/>
        <v>244.55429350000003</v>
      </c>
      <c r="Q157" s="11">
        <f t="shared" si="37"/>
        <v>0</v>
      </c>
    </row>
    <row r="158" spans="1:17" s="180" customFormat="1" ht="13.5" thickBot="1">
      <c r="A158" s="1328"/>
      <c r="B158" s="873"/>
      <c r="C158" s="532" t="s">
        <v>4020</v>
      </c>
      <c r="D158" s="960" t="s">
        <v>1350</v>
      </c>
      <c r="E158" s="172">
        <v>4225.82</v>
      </c>
      <c r="F158" s="52">
        <f t="shared" si="28"/>
        <v>2324.201</v>
      </c>
      <c r="G158" s="53">
        <f t="shared" si="29"/>
        <v>0</v>
      </c>
      <c r="H158" s="52">
        <f t="shared" si="30"/>
        <v>72.910185370000008</v>
      </c>
      <c r="I158" s="11">
        <f t="shared" si="31"/>
        <v>0</v>
      </c>
      <c r="J158" s="11">
        <f t="shared" si="26"/>
        <v>63.683107400000004</v>
      </c>
      <c r="K158" s="11">
        <f t="shared" si="32"/>
        <v>0</v>
      </c>
      <c r="L158" s="11">
        <f t="shared" si="27"/>
        <v>52.991782800000003</v>
      </c>
      <c r="M158" s="11">
        <f t="shared" si="33"/>
        <v>0</v>
      </c>
      <c r="N158" s="11">
        <f t="shared" si="34"/>
        <v>47.413700400000003</v>
      </c>
      <c r="O158" s="11">
        <f t="shared" si="35"/>
        <v>0</v>
      </c>
      <c r="P158" s="11">
        <f t="shared" si="36"/>
        <v>42.997718499999998</v>
      </c>
      <c r="Q158" s="11">
        <f t="shared" si="37"/>
        <v>0</v>
      </c>
    </row>
    <row r="159" spans="1:17" s="180" customFormat="1" ht="13.5" thickBot="1">
      <c r="A159" s="1328"/>
      <c r="B159" s="873"/>
      <c r="C159" s="532" t="s">
        <v>1333</v>
      </c>
      <c r="D159" s="960" t="s">
        <v>1334</v>
      </c>
      <c r="E159" s="172">
        <v>1189.19</v>
      </c>
      <c r="F159" s="52">
        <f t="shared" si="28"/>
        <v>654.05450000000008</v>
      </c>
      <c r="G159" s="53">
        <f t="shared" si="29"/>
        <v>0</v>
      </c>
      <c r="H159" s="52">
        <f t="shared" si="30"/>
        <v>20.517689665000002</v>
      </c>
      <c r="I159" s="11">
        <f t="shared" si="31"/>
        <v>0</v>
      </c>
      <c r="J159" s="11">
        <f t="shared" si="26"/>
        <v>17.921093300000003</v>
      </c>
      <c r="K159" s="11">
        <f t="shared" si="32"/>
        <v>0</v>
      </c>
      <c r="L159" s="11">
        <f t="shared" si="27"/>
        <v>14.912442600000002</v>
      </c>
      <c r="M159" s="11">
        <f t="shared" si="33"/>
        <v>0</v>
      </c>
      <c r="N159" s="11">
        <f t="shared" si="34"/>
        <v>13.342711800000002</v>
      </c>
      <c r="O159" s="11">
        <f t="shared" si="35"/>
        <v>0</v>
      </c>
      <c r="P159" s="11">
        <f t="shared" si="36"/>
        <v>12.10000825</v>
      </c>
      <c r="Q159" s="11">
        <f t="shared" si="37"/>
        <v>0</v>
      </c>
    </row>
    <row r="160" spans="1:17" s="180" customFormat="1" ht="13.5" thickBot="1">
      <c r="A160" s="1328"/>
      <c r="B160" s="873"/>
      <c r="C160" s="532" t="s">
        <v>1335</v>
      </c>
      <c r="D160" s="960" t="s">
        <v>1336</v>
      </c>
      <c r="E160" s="172">
        <v>766.36</v>
      </c>
      <c r="F160" s="8">
        <f t="shared" si="28"/>
        <v>421.49800000000005</v>
      </c>
      <c r="G160" s="9">
        <f t="shared" si="29"/>
        <v>0</v>
      </c>
      <c r="H160" s="52">
        <f t="shared" si="30"/>
        <v>13.222392260000003</v>
      </c>
      <c r="I160" s="11">
        <f t="shared" si="31"/>
        <v>0</v>
      </c>
      <c r="J160" s="11">
        <f t="shared" si="26"/>
        <v>11.549045200000002</v>
      </c>
      <c r="K160" s="11">
        <f t="shared" si="32"/>
        <v>0</v>
      </c>
      <c r="L160" s="11">
        <f t="shared" si="27"/>
        <v>9.6101544000000008</v>
      </c>
      <c r="M160" s="11">
        <f t="shared" si="33"/>
        <v>0</v>
      </c>
      <c r="N160" s="11">
        <f t="shared" si="34"/>
        <v>8.5985592000000022</v>
      </c>
      <c r="O160" s="11">
        <f t="shared" si="35"/>
        <v>0</v>
      </c>
      <c r="P160" s="11">
        <f t="shared" si="36"/>
        <v>7.7977130000000008</v>
      </c>
      <c r="Q160" s="11">
        <f t="shared" si="37"/>
        <v>0</v>
      </c>
    </row>
    <row r="161" spans="1:17" s="421" customFormat="1">
      <c r="A161" s="414"/>
      <c r="D161" s="1303" t="s">
        <v>65</v>
      </c>
      <c r="E161" s="1304"/>
      <c r="F161" s="1304"/>
      <c r="G161" s="51">
        <f>SUM(G28:G160)+G25</f>
        <v>0</v>
      </c>
      <c r="H161" s="178" t="s">
        <v>154</v>
      </c>
      <c r="I161" s="51">
        <f>SUM(I28:I160)+I25</f>
        <v>0</v>
      </c>
      <c r="J161" s="178" t="s">
        <v>155</v>
      </c>
      <c r="K161" s="51">
        <f>SUM(K28:K160)+K25</f>
        <v>0</v>
      </c>
      <c r="L161" s="178" t="s">
        <v>156</v>
      </c>
      <c r="M161" s="51">
        <f>SUM(M28:M160)+M25</f>
        <v>0</v>
      </c>
      <c r="N161" s="178" t="s">
        <v>1337</v>
      </c>
      <c r="O161" s="51">
        <f>SUM(O28:O160)+O25</f>
        <v>0</v>
      </c>
      <c r="P161" s="178" t="s">
        <v>1338</v>
      </c>
      <c r="Q161" s="51">
        <f>SUM(Q28:Q160)+Q25</f>
        <v>0</v>
      </c>
    </row>
    <row r="162" spans="1:17" s="421" customFormat="1" ht="12.75">
      <c r="F162" s="330"/>
      <c r="G162" s="330"/>
      <c r="H162" s="423"/>
    </row>
    <row r="163" spans="1:17" s="421" customFormat="1" ht="12.75">
      <c r="F163" s="330"/>
      <c r="G163" s="330"/>
    </row>
    <row r="164" spans="1:17" s="421" customFormat="1" ht="12.75">
      <c r="F164" s="330"/>
      <c r="G164" s="330"/>
    </row>
    <row r="165" spans="1:17" s="421" customFormat="1" ht="12.75">
      <c r="F165" s="330"/>
      <c r="G165" s="330"/>
    </row>
    <row r="166" spans="1:17" s="421" customFormat="1" ht="12.75">
      <c r="F166" s="330"/>
      <c r="G166" s="330"/>
    </row>
    <row r="167" spans="1:17" s="421" customFormat="1" ht="12.75">
      <c r="F167" s="330"/>
      <c r="G167" s="330"/>
    </row>
    <row r="168" spans="1:17" s="421" customFormat="1" ht="12.75">
      <c r="F168" s="330"/>
      <c r="G168" s="330"/>
    </row>
    <row r="169" spans="1:17" s="421" customFormat="1" ht="12.75">
      <c r="F169" s="330"/>
      <c r="G169" s="330"/>
    </row>
    <row r="170" spans="1:17" s="421" customFormat="1" ht="12.75">
      <c r="F170" s="330"/>
      <c r="G170" s="330"/>
    </row>
    <row r="171" spans="1:17" s="421" customFormat="1" ht="12.75">
      <c r="F171" s="330"/>
      <c r="G171" s="330"/>
    </row>
    <row r="172" spans="1:17" s="421" customFormat="1" ht="12.75">
      <c r="F172" s="330"/>
      <c r="G172" s="330"/>
    </row>
    <row r="173" spans="1:17" s="421" customFormat="1" ht="12.75">
      <c r="F173" s="330"/>
      <c r="G173" s="330"/>
    </row>
    <row r="174" spans="1:17" s="421" customFormat="1" ht="12.75">
      <c r="F174" s="330"/>
      <c r="G174" s="330"/>
    </row>
    <row r="175" spans="1:17" s="421" customFormat="1" ht="12.75">
      <c r="F175" s="330"/>
      <c r="G175" s="330"/>
    </row>
    <row r="176" spans="1:17" s="421" customFormat="1" ht="12.75">
      <c r="F176" s="330"/>
      <c r="G176" s="330"/>
    </row>
    <row r="177" spans="2:7" s="421" customFormat="1" ht="12.75">
      <c r="F177" s="330"/>
      <c r="G177" s="330"/>
    </row>
    <row r="178" spans="2:7" s="421" customFormat="1" ht="12.75">
      <c r="B178" s="179"/>
      <c r="C178" s="179"/>
      <c r="F178" s="330"/>
      <c r="G178" s="330"/>
    </row>
    <row r="179" spans="2:7" s="421" customFormat="1" ht="12.75">
      <c r="F179" s="330"/>
      <c r="G179" s="330"/>
    </row>
    <row r="180" spans="2:7" s="421" customFormat="1" ht="12.75">
      <c r="F180" s="330"/>
      <c r="G180" s="330"/>
    </row>
    <row r="181" spans="2:7" s="421" customFormat="1" ht="12.75">
      <c r="F181" s="330"/>
      <c r="G181" s="330"/>
    </row>
    <row r="182" spans="2:7" s="421" customFormat="1" ht="12.75">
      <c r="F182" s="330"/>
      <c r="G182" s="330"/>
    </row>
    <row r="183" spans="2:7" s="421" customFormat="1" ht="12.75">
      <c r="F183" s="330"/>
      <c r="G183" s="330"/>
    </row>
    <row r="184" spans="2:7" s="421" customFormat="1" ht="12.75">
      <c r="F184" s="330"/>
      <c r="G184" s="330"/>
    </row>
    <row r="185" spans="2:7" s="421" customFormat="1" ht="12.75">
      <c r="F185" s="330"/>
      <c r="G185" s="330"/>
    </row>
    <row r="186" spans="2:7" s="421" customFormat="1" ht="12.75">
      <c r="F186" s="330"/>
      <c r="G186" s="330"/>
    </row>
    <row r="187" spans="2:7" s="421" customFormat="1" ht="12.75">
      <c r="F187" s="330"/>
      <c r="G187" s="330"/>
    </row>
    <row r="188" spans="2:7" s="421" customFormat="1" ht="12.75">
      <c r="F188" s="330"/>
      <c r="G188" s="330"/>
    </row>
    <row r="189" spans="2:7" s="421" customFormat="1" ht="12.75">
      <c r="F189" s="330"/>
      <c r="G189" s="330"/>
    </row>
    <row r="190" spans="2:7" s="421" customFormat="1" ht="12.75">
      <c r="F190" s="330"/>
      <c r="G190" s="330"/>
    </row>
    <row r="191" spans="2:7" s="421" customFormat="1" ht="12.75">
      <c r="F191" s="330"/>
      <c r="G191" s="330"/>
    </row>
    <row r="192" spans="2:7" s="421" customFormat="1" ht="12.75">
      <c r="F192" s="330"/>
      <c r="G192" s="330"/>
    </row>
    <row r="193" spans="6:7" s="421" customFormat="1" ht="12.75">
      <c r="F193" s="330"/>
      <c r="G193" s="330"/>
    </row>
    <row r="194" spans="6:7" s="421" customFormat="1" ht="12.75">
      <c r="F194" s="330"/>
      <c r="G194" s="330"/>
    </row>
    <row r="195" spans="6:7" s="421" customFormat="1" ht="12.75">
      <c r="F195" s="330"/>
      <c r="G195" s="330"/>
    </row>
    <row r="196" spans="6:7" s="421" customFormat="1" ht="12.75">
      <c r="F196" s="330"/>
      <c r="G196" s="330"/>
    </row>
    <row r="197" spans="6:7" s="421" customFormat="1" ht="12.75">
      <c r="F197" s="330"/>
      <c r="G197" s="330"/>
    </row>
    <row r="198" spans="6:7" s="421" customFormat="1" ht="12.75">
      <c r="F198" s="330"/>
      <c r="G198" s="330"/>
    </row>
    <row r="199" spans="6:7" s="421" customFormat="1" ht="12.75">
      <c r="F199" s="330"/>
      <c r="G199" s="330"/>
    </row>
    <row r="200" spans="6:7" s="421" customFormat="1" ht="12.75">
      <c r="F200" s="330"/>
      <c r="G200" s="330"/>
    </row>
    <row r="201" spans="6:7" s="421" customFormat="1" ht="12.75">
      <c r="F201" s="330"/>
      <c r="G201" s="330"/>
    </row>
    <row r="202" spans="6:7" s="421" customFormat="1" ht="12.75">
      <c r="F202" s="330"/>
      <c r="G202" s="330"/>
    </row>
    <row r="203" spans="6:7" s="421" customFormat="1" ht="12.75">
      <c r="F203" s="330"/>
      <c r="G203" s="330"/>
    </row>
    <row r="204" spans="6:7" s="421" customFormat="1" ht="12.75">
      <c r="F204" s="330"/>
      <c r="G204" s="330"/>
    </row>
    <row r="205" spans="6:7" s="421" customFormat="1" ht="12.75">
      <c r="F205" s="330"/>
      <c r="G205" s="330"/>
    </row>
    <row r="206" spans="6:7" s="421" customFormat="1" ht="12.75">
      <c r="F206" s="330"/>
      <c r="G206" s="330"/>
    </row>
    <row r="207" spans="6:7" s="421" customFormat="1" ht="12.75">
      <c r="F207" s="330"/>
      <c r="G207" s="330"/>
    </row>
    <row r="208" spans="6:7" s="421" customFormat="1" ht="12.75">
      <c r="F208" s="330"/>
      <c r="G208" s="330"/>
    </row>
    <row r="209" spans="6:7" s="421" customFormat="1" ht="12.75">
      <c r="F209" s="330"/>
      <c r="G209" s="330"/>
    </row>
    <row r="210" spans="6:7" s="421" customFormat="1" ht="12.75">
      <c r="F210" s="330"/>
      <c r="G210" s="330"/>
    </row>
    <row r="211" spans="6:7" s="421" customFormat="1" ht="12.75">
      <c r="F211" s="330"/>
      <c r="G211" s="330"/>
    </row>
    <row r="212" spans="6:7" s="421" customFormat="1" ht="12.75">
      <c r="F212" s="330"/>
      <c r="G212" s="330"/>
    </row>
    <row r="213" spans="6:7" s="421" customFormat="1" ht="12.75">
      <c r="F213" s="330"/>
      <c r="G213" s="330"/>
    </row>
    <row r="214" spans="6:7" s="421" customFormat="1" ht="12.75">
      <c r="F214" s="330"/>
      <c r="G214" s="330"/>
    </row>
    <row r="215" spans="6:7" s="421" customFormat="1" ht="12.75">
      <c r="F215" s="330"/>
      <c r="G215" s="330"/>
    </row>
    <row r="216" spans="6:7" s="421" customFormat="1" ht="12.75">
      <c r="F216" s="330"/>
      <c r="G216" s="330"/>
    </row>
    <row r="217" spans="6:7" s="421" customFormat="1" ht="12.75">
      <c r="F217" s="330"/>
      <c r="G217" s="330"/>
    </row>
    <row r="218" spans="6:7" s="421" customFormat="1" ht="12.75">
      <c r="F218" s="330"/>
      <c r="G218" s="330"/>
    </row>
    <row r="219" spans="6:7" s="421" customFormat="1" ht="12.75">
      <c r="F219" s="330"/>
      <c r="G219" s="330"/>
    </row>
    <row r="220" spans="6:7" s="421" customFormat="1" ht="12.75">
      <c r="F220" s="330"/>
      <c r="G220" s="330"/>
    </row>
    <row r="221" spans="6:7" s="421" customFormat="1" ht="12.75">
      <c r="F221" s="330"/>
      <c r="G221" s="330"/>
    </row>
    <row r="222" spans="6:7" s="421" customFormat="1" ht="12.75">
      <c r="F222" s="330"/>
      <c r="G222" s="330"/>
    </row>
    <row r="223" spans="6:7" s="421" customFormat="1" ht="12.75">
      <c r="F223" s="330"/>
      <c r="G223" s="330"/>
    </row>
    <row r="224" spans="6:7" s="421" customFormat="1" ht="12.75">
      <c r="F224" s="330"/>
      <c r="G224" s="330"/>
    </row>
    <row r="225" spans="6:7" s="421" customFormat="1" ht="12.75">
      <c r="F225" s="330"/>
      <c r="G225" s="330"/>
    </row>
    <row r="226" spans="6:7" s="421" customFormat="1" ht="12.75">
      <c r="F226" s="330"/>
      <c r="G226" s="330"/>
    </row>
    <row r="227" spans="6:7" s="421" customFormat="1" ht="12.75">
      <c r="F227" s="330"/>
      <c r="G227" s="330"/>
    </row>
    <row r="228" spans="6:7" s="421" customFormat="1" ht="12.75">
      <c r="F228" s="330"/>
      <c r="G228" s="330"/>
    </row>
    <row r="229" spans="6:7" s="421" customFormat="1" ht="12.75">
      <c r="F229" s="330"/>
      <c r="G229" s="330"/>
    </row>
    <row r="230" spans="6:7" s="421" customFormat="1" ht="12.75">
      <c r="F230" s="330"/>
      <c r="G230" s="330"/>
    </row>
    <row r="231" spans="6:7" s="421" customFormat="1" ht="12.75">
      <c r="F231" s="330"/>
      <c r="G231" s="330"/>
    </row>
    <row r="232" spans="6:7" s="421" customFormat="1" ht="12.75">
      <c r="F232" s="330"/>
      <c r="G232" s="330"/>
    </row>
    <row r="233" spans="6:7" s="421" customFormat="1" ht="12.75">
      <c r="F233" s="330"/>
      <c r="G233" s="330"/>
    </row>
    <row r="234" spans="6:7" s="421" customFormat="1" ht="12.75">
      <c r="F234" s="330"/>
      <c r="G234" s="330"/>
    </row>
    <row r="235" spans="6:7" s="421" customFormat="1" ht="12.75">
      <c r="F235" s="330"/>
      <c r="G235" s="330"/>
    </row>
    <row r="236" spans="6:7" s="421" customFormat="1" ht="12.75">
      <c r="F236" s="330"/>
      <c r="G236" s="330"/>
    </row>
    <row r="237" spans="6:7" s="421" customFormat="1" ht="12.75">
      <c r="F237" s="330"/>
      <c r="G237" s="330"/>
    </row>
    <row r="238" spans="6:7" s="421" customFormat="1" ht="12.75">
      <c r="F238" s="330"/>
      <c r="G238" s="330"/>
    </row>
    <row r="239" spans="6:7" s="421" customFormat="1" ht="12.75">
      <c r="F239" s="330"/>
      <c r="G239" s="330"/>
    </row>
    <row r="240" spans="6:7" s="421" customFormat="1" ht="12.75">
      <c r="F240" s="330"/>
      <c r="G240" s="330"/>
    </row>
    <row r="241" spans="6:7" s="421" customFormat="1" ht="12.75">
      <c r="F241" s="330"/>
      <c r="G241" s="330"/>
    </row>
    <row r="242" spans="6:7" s="421" customFormat="1" ht="12.75">
      <c r="F242" s="330"/>
      <c r="G242" s="330"/>
    </row>
    <row r="243" spans="6:7" s="421" customFormat="1" ht="12.75">
      <c r="F243" s="330"/>
      <c r="G243" s="330"/>
    </row>
    <row r="244" spans="6:7" s="421" customFormat="1" ht="12.75">
      <c r="F244" s="330"/>
      <c r="G244" s="330"/>
    </row>
    <row r="245" spans="6:7" s="421" customFormat="1" ht="12.75">
      <c r="F245" s="330"/>
      <c r="G245" s="330"/>
    </row>
    <row r="246" spans="6:7" s="421" customFormat="1" ht="12.75">
      <c r="F246" s="330"/>
      <c r="G246" s="330"/>
    </row>
    <row r="247" spans="6:7" s="421" customFormat="1" ht="12.75">
      <c r="F247" s="330"/>
      <c r="G247" s="330"/>
    </row>
    <row r="248" spans="6:7" s="421" customFormat="1" ht="12.75">
      <c r="F248" s="330"/>
      <c r="G248" s="330"/>
    </row>
    <row r="249" spans="6:7" s="421" customFormat="1" ht="12.75">
      <c r="F249" s="330"/>
      <c r="G249" s="330"/>
    </row>
    <row r="250" spans="6:7" s="421" customFormat="1" ht="12.75">
      <c r="F250" s="330"/>
      <c r="G250" s="330"/>
    </row>
    <row r="251" spans="6:7" s="421" customFormat="1" ht="12.75">
      <c r="F251" s="330"/>
      <c r="G251" s="330"/>
    </row>
    <row r="252" spans="6:7" s="421" customFormat="1" ht="12.75">
      <c r="F252" s="330"/>
      <c r="G252" s="330"/>
    </row>
    <row r="253" spans="6:7" s="421" customFormat="1" ht="12.75">
      <c r="F253" s="330"/>
      <c r="G253" s="330"/>
    </row>
    <row r="254" spans="6:7" s="421" customFormat="1" ht="12.75">
      <c r="F254" s="330"/>
      <c r="G254" s="330"/>
    </row>
    <row r="255" spans="6:7" s="421" customFormat="1" ht="12.75">
      <c r="F255" s="330"/>
      <c r="G255" s="330"/>
    </row>
    <row r="256" spans="6:7" s="421" customFormat="1" ht="12.75">
      <c r="F256" s="330"/>
      <c r="G256" s="330"/>
    </row>
    <row r="257" spans="1:17" s="421" customFormat="1" ht="12.75">
      <c r="F257" s="330"/>
      <c r="G257" s="330"/>
    </row>
    <row r="258" spans="1:17" s="421" customFormat="1" ht="12.75">
      <c r="F258" s="330"/>
      <c r="G258" s="330"/>
    </row>
    <row r="259" spans="1:17" s="421" customFormat="1" ht="12.75">
      <c r="F259" s="330"/>
      <c r="G259" s="330"/>
    </row>
    <row r="260" spans="1:17" s="421" customFormat="1" ht="12.75">
      <c r="F260" s="330"/>
      <c r="G260" s="330"/>
    </row>
    <row r="261" spans="1:17" s="421" customFormat="1" ht="12.75">
      <c r="F261" s="330"/>
      <c r="G261" s="330"/>
    </row>
    <row r="262" spans="1:17">
      <c r="A262" s="421"/>
      <c r="B262" s="421"/>
      <c r="C262" s="421"/>
      <c r="D262" s="421"/>
      <c r="E262" s="421"/>
      <c r="F262" s="330"/>
      <c r="G262" s="330"/>
      <c r="H262" s="421"/>
      <c r="I262" s="421"/>
      <c r="J262" s="421"/>
      <c r="K262" s="421"/>
      <c r="L262" s="421"/>
      <c r="M262" s="421"/>
      <c r="N262" s="421"/>
      <c r="O262" s="421"/>
      <c r="P262" s="421"/>
      <c r="Q262" s="421"/>
    </row>
    <row r="263" spans="1:17">
      <c r="A263" s="421"/>
      <c r="B263" s="421"/>
      <c r="C263" s="421"/>
      <c r="D263" s="421"/>
      <c r="E263" s="421"/>
      <c r="F263" s="330"/>
      <c r="G263" s="330"/>
      <c r="H263" s="421"/>
      <c r="I263" s="421"/>
      <c r="J263" s="421"/>
      <c r="K263" s="421"/>
      <c r="L263" s="421"/>
      <c r="M263" s="421"/>
      <c r="N263" s="421"/>
      <c r="O263" s="421"/>
      <c r="P263" s="421"/>
      <c r="Q263" s="421"/>
    </row>
    <row r="264" spans="1:17">
      <c r="A264" s="421"/>
      <c r="B264" s="421"/>
      <c r="C264" s="421"/>
      <c r="D264" s="421"/>
      <c r="E264" s="421"/>
      <c r="F264" s="330"/>
      <c r="G264" s="330"/>
      <c r="I264" s="421"/>
      <c r="J264" s="421"/>
      <c r="K264" s="421"/>
      <c r="L264" s="421"/>
      <c r="M264" s="421"/>
      <c r="N264" s="421"/>
      <c r="O264" s="421"/>
      <c r="P264" s="421"/>
      <c r="Q264" s="421"/>
    </row>
  </sheetData>
  <mergeCells count="18">
    <mergeCell ref="F23:G23"/>
    <mergeCell ref="H23:Q23"/>
    <mergeCell ref="A4:O4"/>
    <mergeCell ref="A5:O5"/>
    <mergeCell ref="F8:I8"/>
    <mergeCell ref="A19:Q19"/>
    <mergeCell ref="A20:Q20"/>
    <mergeCell ref="O25:O26"/>
    <mergeCell ref="Q25:Q26"/>
    <mergeCell ref="A27:Q27"/>
    <mergeCell ref="A28:A160"/>
    <mergeCell ref="D161:F161"/>
    <mergeCell ref="A25:A26"/>
    <mergeCell ref="B25:B26"/>
    <mergeCell ref="G25:G26"/>
    <mergeCell ref="I25:I26"/>
    <mergeCell ref="K25:K26"/>
    <mergeCell ref="M25:M26"/>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7708-5E7F-48FF-B4AC-BCD03E94E528}">
  <sheetPr>
    <tabColor indexed="62"/>
  </sheetPr>
  <dimension ref="A1:S264"/>
  <sheetViews>
    <sheetView topLeftCell="A14" zoomScale="89" zoomScaleNormal="89" workbookViewId="0">
      <selection activeCell="D21" sqref="D21"/>
    </sheetView>
  </sheetViews>
  <sheetFormatPr defaultColWidth="8.85546875" defaultRowHeight="15.75"/>
  <cols>
    <col min="1" max="1" width="14" style="139" customWidth="1"/>
    <col min="2" max="2" width="8.7109375" style="139" customWidth="1"/>
    <col min="3" max="3" width="23.5703125" style="139" customWidth="1"/>
    <col min="4" max="4" width="42" style="139" customWidth="1"/>
    <col min="5" max="5" width="17" style="139" customWidth="1"/>
    <col min="6" max="6" width="18.28515625" style="333" customWidth="1"/>
    <col min="7" max="7" width="16" style="333"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315" t="s">
        <v>4105</v>
      </c>
      <c r="B4" s="1020"/>
      <c r="C4" s="1020"/>
      <c r="D4" s="1020"/>
      <c r="E4" s="1020"/>
      <c r="F4" s="1020"/>
      <c r="G4" s="1020"/>
      <c r="H4" s="1020"/>
      <c r="I4" s="1020"/>
      <c r="J4" s="1020"/>
      <c r="K4" s="1020"/>
      <c r="L4" s="1020"/>
      <c r="M4" s="1020"/>
      <c r="N4" s="1020"/>
      <c r="O4" s="1020"/>
      <c r="P4" s="256"/>
      <c r="Q4" s="256"/>
    </row>
    <row r="5" spans="1:17" s="149" customFormat="1" ht="46.5" customHeight="1">
      <c r="A5" s="1316" t="s">
        <v>4106</v>
      </c>
      <c r="B5" s="1045"/>
      <c r="C5" s="1045"/>
      <c r="D5" s="1045"/>
      <c r="E5" s="1045"/>
      <c r="F5" s="1045"/>
      <c r="G5" s="1045"/>
      <c r="H5" s="1045"/>
      <c r="I5" s="1045"/>
      <c r="J5" s="1045"/>
      <c r="K5" s="1045"/>
      <c r="L5" s="1045"/>
      <c r="M5" s="1045"/>
      <c r="N5" s="1045"/>
      <c r="O5" s="1045"/>
      <c r="P5" s="266"/>
      <c r="Q5" s="266"/>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9" t="s">
        <v>0</v>
      </c>
      <c r="G8" s="1179"/>
      <c r="H8" s="1179"/>
      <c r="I8" s="1322"/>
      <c r="J8" s="139"/>
      <c r="K8" s="139"/>
      <c r="L8" s="139"/>
    </row>
    <row r="9" spans="1:17" s="148" customFormat="1" ht="14.25">
      <c r="C9" s="270"/>
      <c r="D9" s="265"/>
      <c r="F9" s="270" t="s">
        <v>261</v>
      </c>
      <c r="G9" s="265" t="s">
        <v>1356</v>
      </c>
      <c r="H9" s="157"/>
      <c r="I9" s="158"/>
      <c r="J9" s="159"/>
      <c r="L9" s="159"/>
    </row>
    <row r="10" spans="1:17" s="148" customFormat="1" ht="14.25">
      <c r="C10" s="270"/>
      <c r="D10" s="265"/>
      <c r="F10" s="270" t="s">
        <v>7</v>
      </c>
      <c r="G10" s="265" t="s">
        <v>1387</v>
      </c>
      <c r="H10" s="157"/>
      <c r="I10" s="158"/>
      <c r="J10" s="159"/>
      <c r="L10" s="159"/>
    </row>
    <row r="11" spans="1:17" s="148" customFormat="1" ht="14.25">
      <c r="C11" s="270"/>
      <c r="D11" s="265"/>
      <c r="E11" s="160"/>
      <c r="F11" s="270" t="s">
        <v>8</v>
      </c>
      <c r="G11" s="265" t="s">
        <v>1358</v>
      </c>
      <c r="H11" s="157"/>
      <c r="I11" s="158"/>
      <c r="J11" s="159"/>
      <c r="L11" s="159"/>
    </row>
    <row r="12" spans="1:17" s="148" customFormat="1" ht="14.25">
      <c r="C12" s="270"/>
      <c r="D12" s="265"/>
      <c r="F12" s="270" t="s">
        <v>10</v>
      </c>
      <c r="G12" s="265" t="s">
        <v>1359</v>
      </c>
      <c r="H12" s="157"/>
      <c r="I12" s="158"/>
      <c r="J12" s="159"/>
      <c r="L12" s="159"/>
    </row>
    <row r="13" spans="1:17" s="148" customFormat="1" ht="14.25">
      <c r="C13" s="270"/>
      <c r="D13" s="265"/>
      <c r="F13" s="270" t="s">
        <v>409</v>
      </c>
      <c r="G13" s="265" t="s">
        <v>1360</v>
      </c>
      <c r="H13" s="157"/>
      <c r="I13" s="158"/>
      <c r="J13" s="159"/>
      <c r="L13" s="159"/>
    </row>
    <row r="14" spans="1:17" s="265" customFormat="1" ht="14.25">
      <c r="C14" s="270"/>
      <c r="F14" s="270" t="s">
        <v>14</v>
      </c>
      <c r="G14" s="265" t="s">
        <v>272</v>
      </c>
      <c r="H14" s="157"/>
      <c r="I14" s="161"/>
    </row>
    <row r="15" spans="1:17" s="265" customFormat="1" ht="14.25">
      <c r="C15" s="270"/>
      <c r="F15" s="270" t="s">
        <v>18</v>
      </c>
      <c r="G15" s="265" t="s">
        <v>1289</v>
      </c>
      <c r="H15" s="157"/>
      <c r="I15" s="161"/>
    </row>
    <row r="16" spans="1:17" s="148" customFormat="1" ht="14.25">
      <c r="C16" s="270"/>
      <c r="D16" s="265"/>
      <c r="F16" s="270" t="s">
        <v>276</v>
      </c>
      <c r="G16" s="265" t="s">
        <v>1361</v>
      </c>
      <c r="H16" s="157"/>
      <c r="I16" s="161"/>
      <c r="J16" s="162"/>
      <c r="L16" s="162"/>
    </row>
    <row r="17" spans="1:19" s="148" customFormat="1" ht="14.25">
      <c r="C17" s="270"/>
      <c r="D17" s="265"/>
      <c r="F17" s="270" t="s">
        <v>26</v>
      </c>
      <c r="G17" s="265" t="s">
        <v>1362</v>
      </c>
      <c r="H17" s="157"/>
      <c r="I17" s="161"/>
      <c r="J17" s="162"/>
      <c r="L17" s="162"/>
    </row>
    <row r="18" spans="1:19" s="148" customFormat="1" ht="14.25">
      <c r="C18" s="270"/>
      <c r="D18" s="278"/>
      <c r="F18" s="270" t="s">
        <v>28</v>
      </c>
      <c r="G18" s="278" t="s">
        <v>1363</v>
      </c>
      <c r="H18" s="157"/>
      <c r="I18" s="157"/>
      <c r="J18" s="162"/>
      <c r="L18" s="162"/>
    </row>
    <row r="19" spans="1:19" s="265" customFormat="1" ht="14.25">
      <c r="A19" s="1179" t="s">
        <v>30</v>
      </c>
      <c r="B19" s="1179"/>
      <c r="C19" s="1179"/>
      <c r="D19" s="1179"/>
      <c r="E19" s="1179"/>
      <c r="F19" s="1179"/>
      <c r="G19" s="1179"/>
      <c r="H19" s="1179"/>
      <c r="I19" s="1179"/>
      <c r="J19" s="1179"/>
      <c r="K19" s="1179"/>
      <c r="L19" s="1179"/>
      <c r="M19" s="1179"/>
      <c r="N19" s="1179"/>
      <c r="O19" s="1179"/>
      <c r="P19" s="1179"/>
      <c r="Q19" s="1179"/>
      <c r="R19" s="1179"/>
      <c r="S19" s="1179"/>
    </row>
    <row r="20" spans="1:19" s="265" customFormat="1" ht="14.25">
      <c r="A20" s="1318" t="s">
        <v>1065</v>
      </c>
      <c r="B20" s="1319"/>
      <c r="C20" s="1319"/>
      <c r="D20" s="1319"/>
      <c r="E20" s="1319"/>
      <c r="F20" s="1319"/>
      <c r="G20" s="1319"/>
      <c r="H20" s="1319"/>
      <c r="I20" s="1319"/>
      <c r="J20" s="1319"/>
      <c r="K20" s="1319"/>
      <c r="L20" s="1319"/>
      <c r="M20" s="1319"/>
      <c r="N20" s="1319"/>
      <c r="O20" s="1319"/>
      <c r="P20" s="1319"/>
      <c r="Q20" s="1319"/>
      <c r="R20" s="1319"/>
      <c r="S20" s="1319"/>
    </row>
    <row r="21" spans="1:19" s="148" customFormat="1" ht="12.75" customHeight="1">
      <c r="B21" s="164"/>
      <c r="C21" s="164"/>
      <c r="D21" s="165"/>
      <c r="E21" s="165"/>
      <c r="F21" s="166"/>
      <c r="G21" s="166"/>
      <c r="I21" s="149"/>
      <c r="J21" s="149"/>
      <c r="K21" s="149"/>
      <c r="L21" s="149"/>
    </row>
    <row r="22" spans="1:19" s="148" customFormat="1" ht="12.75" customHeight="1" thickBot="1">
      <c r="D22" s="165"/>
      <c r="E22" s="165"/>
      <c r="F22" s="166"/>
      <c r="G22" s="166"/>
      <c r="I22" s="167"/>
      <c r="J22" s="167"/>
      <c r="K22" s="167"/>
      <c r="L22" s="167"/>
    </row>
    <row r="23" spans="1:19" s="148" customFormat="1" ht="15.75" customHeight="1" thickBot="1">
      <c r="F23" s="1021" t="s">
        <v>43</v>
      </c>
      <c r="G23" s="1022"/>
      <c r="H23" s="1312" t="s">
        <v>44</v>
      </c>
      <c r="I23" s="1313"/>
      <c r="J23" s="1313"/>
      <c r="K23" s="1313"/>
      <c r="L23" s="1313"/>
      <c r="M23" s="1313"/>
      <c r="N23" s="1313"/>
      <c r="O23" s="1313"/>
      <c r="P23" s="1313"/>
      <c r="Q23" s="1314"/>
    </row>
    <row r="24" spans="1:19" s="170" customFormat="1" ht="63.75" customHeight="1" thickBot="1">
      <c r="A24" s="168" t="s">
        <v>45</v>
      </c>
      <c r="B24" s="168" t="s">
        <v>46</v>
      </c>
      <c r="C24" s="169" t="s">
        <v>47</v>
      </c>
      <c r="D24" s="169" t="s">
        <v>48</v>
      </c>
      <c r="E24" s="169" t="s">
        <v>49</v>
      </c>
      <c r="F24" s="169" t="s">
        <v>50</v>
      </c>
      <c r="G24" s="168" t="s">
        <v>51</v>
      </c>
      <c r="H24" s="169" t="s">
        <v>53</v>
      </c>
      <c r="I24" s="168" t="s">
        <v>51</v>
      </c>
      <c r="J24" s="169" t="s">
        <v>54</v>
      </c>
      <c r="K24" s="168" t="s">
        <v>51</v>
      </c>
      <c r="L24" s="169" t="s">
        <v>55</v>
      </c>
      <c r="M24" s="168" t="s">
        <v>51</v>
      </c>
      <c r="N24" s="169" t="s">
        <v>847</v>
      </c>
      <c r="O24" s="168" t="s">
        <v>51</v>
      </c>
      <c r="P24" s="169" t="s">
        <v>848</v>
      </c>
      <c r="Q24" s="168" t="s">
        <v>51</v>
      </c>
    </row>
    <row r="25" spans="1:19" s="171" customFormat="1" ht="26.25" customHeight="1" thickBot="1">
      <c r="A25" s="1306" t="s">
        <v>1293</v>
      </c>
      <c r="B25" s="1308"/>
      <c r="C25" s="956" t="s">
        <v>4035</v>
      </c>
      <c r="D25" s="957" t="s">
        <v>4105</v>
      </c>
      <c r="E25" s="958">
        <v>204412.28</v>
      </c>
      <c r="F25" s="28">
        <f>SUM(E25:E26)*(1-51.6%)</f>
        <v>99060.899519999992</v>
      </c>
      <c r="G25" s="1011">
        <f>F25*B25</f>
        <v>0</v>
      </c>
      <c r="H25" s="29">
        <f>F25*0.03137</f>
        <v>3107.5404179423999</v>
      </c>
      <c r="I25" s="1011">
        <f>H25*B25</f>
        <v>0</v>
      </c>
      <c r="J25" s="29">
        <f>F25*0.0274</f>
        <v>2714.2686468479997</v>
      </c>
      <c r="K25" s="1011">
        <f>J25*B25</f>
        <v>0</v>
      </c>
      <c r="L25" s="410">
        <f>F25*0.0228</f>
        <v>2258.588509056</v>
      </c>
      <c r="M25" s="1011">
        <f>L25*B25</f>
        <v>0</v>
      </c>
      <c r="N25" s="410">
        <f>F25*0.0204</f>
        <v>2020.842350208</v>
      </c>
      <c r="O25" s="1011">
        <f>N25*B25</f>
        <v>0</v>
      </c>
      <c r="P25" s="410">
        <f>F25*0.0185</f>
        <v>1832.6266411199997</v>
      </c>
      <c r="Q25" s="1011">
        <f>P25*B25</f>
        <v>0</v>
      </c>
    </row>
    <row r="26" spans="1:19" s="180" customFormat="1" ht="13.5" customHeight="1" thickBot="1">
      <c r="A26" s="1307"/>
      <c r="B26" s="1309"/>
      <c r="C26" s="411" t="s">
        <v>424</v>
      </c>
      <c r="D26" s="412" t="s">
        <v>57</v>
      </c>
      <c r="E26" s="413">
        <v>259</v>
      </c>
      <c r="F26" s="306" t="s">
        <v>35</v>
      </c>
      <c r="G26" s="1310"/>
      <c r="H26" s="306" t="s">
        <v>35</v>
      </c>
      <c r="I26" s="1310"/>
      <c r="J26" s="306" t="s">
        <v>35</v>
      </c>
      <c r="K26" s="1310"/>
      <c r="L26" s="301" t="s">
        <v>35</v>
      </c>
      <c r="M26" s="1311"/>
      <c r="N26" s="301" t="s">
        <v>35</v>
      </c>
      <c r="O26" s="1299"/>
      <c r="P26" s="301" t="s">
        <v>35</v>
      </c>
      <c r="Q26" s="1299"/>
    </row>
    <row r="27" spans="1:19" s="180" customFormat="1" ht="12.6" customHeight="1" thickBot="1">
      <c r="A27" s="1300" t="s">
        <v>59</v>
      </c>
      <c r="B27" s="1301"/>
      <c r="C27" s="1301"/>
      <c r="D27" s="1301"/>
      <c r="E27" s="1301"/>
      <c r="F27" s="1301"/>
      <c r="G27" s="1301"/>
      <c r="H27" s="1301"/>
      <c r="I27" s="1301"/>
      <c r="J27" s="1301"/>
      <c r="K27" s="1301"/>
      <c r="L27" s="1301"/>
      <c r="M27" s="1301"/>
      <c r="N27" s="1301"/>
      <c r="O27" s="1301"/>
      <c r="P27" s="1301"/>
      <c r="Q27" s="1302"/>
      <c r="R27" s="415"/>
      <c r="S27" s="415"/>
    </row>
    <row r="28" spans="1:19" s="180" customFormat="1" ht="13.5" thickBot="1">
      <c r="A28" s="1327"/>
      <c r="B28" s="431"/>
      <c r="C28" s="890" t="s">
        <v>1398</v>
      </c>
      <c r="D28" s="949" t="s">
        <v>4002</v>
      </c>
      <c r="E28" s="959">
        <v>3439.8</v>
      </c>
      <c r="F28" s="434">
        <f t="shared" ref="F28:F91" si="0">E28*(1-45%)</f>
        <v>1891.8900000000003</v>
      </c>
      <c r="G28" s="10">
        <f t="shared" ref="G28:G91" si="1">F28*B28</f>
        <v>0</v>
      </c>
      <c r="H28" s="11">
        <f t="shared" ref="H28:H91" si="2">F28*0.03137</f>
        <v>59.348589300000015</v>
      </c>
      <c r="I28" s="11">
        <f t="shared" ref="I28:I91" si="3">H28*B28</f>
        <v>0</v>
      </c>
      <c r="J28" s="11">
        <f t="shared" ref="J28:J77" si="4">F28*0.0274</f>
        <v>51.837786000000008</v>
      </c>
      <c r="K28" s="11">
        <f t="shared" ref="K28:K91" si="5">J28*B28</f>
        <v>0</v>
      </c>
      <c r="L28" s="11">
        <f t="shared" ref="L28:L77" si="6">F28*0.0228</f>
        <v>43.135092000000007</v>
      </c>
      <c r="M28" s="11">
        <f t="shared" ref="M28:M91" si="7">L28*B28</f>
        <v>0</v>
      </c>
      <c r="N28" s="11">
        <f t="shared" ref="N28:N91" si="8">F28*0.0204</f>
        <v>38.594556000000011</v>
      </c>
      <c r="O28" s="11">
        <f t="shared" ref="O28:O91" si="9">N28*B28</f>
        <v>0</v>
      </c>
      <c r="P28" s="11">
        <f>F28*0.0185</f>
        <v>34.999965000000003</v>
      </c>
      <c r="Q28" s="11">
        <f>P28*B28</f>
        <v>0</v>
      </c>
      <c r="R28" s="415"/>
      <c r="S28" s="415"/>
    </row>
    <row r="29" spans="1:19" s="180" customFormat="1" ht="13.5" thickBot="1">
      <c r="A29" s="1328"/>
      <c r="B29" s="416"/>
      <c r="C29" s="532" t="s">
        <v>1177</v>
      </c>
      <c r="D29" s="960" t="s">
        <v>3979</v>
      </c>
      <c r="E29" s="172">
        <v>499</v>
      </c>
      <c r="F29" s="8">
        <f t="shared" si="0"/>
        <v>274.45000000000005</v>
      </c>
      <c r="G29" s="9">
        <f t="shared" si="1"/>
        <v>0</v>
      </c>
      <c r="H29" s="52">
        <f t="shared" si="2"/>
        <v>8.6094965000000023</v>
      </c>
      <c r="I29" s="11">
        <f t="shared" si="3"/>
        <v>0</v>
      </c>
      <c r="J29" s="11">
        <f t="shared" si="4"/>
        <v>7.5199300000000013</v>
      </c>
      <c r="K29" s="11">
        <f t="shared" si="5"/>
        <v>0</v>
      </c>
      <c r="L29" s="11">
        <f t="shared" si="6"/>
        <v>6.2574600000000009</v>
      </c>
      <c r="M29" s="11">
        <f t="shared" si="7"/>
        <v>0</v>
      </c>
      <c r="N29" s="11">
        <f t="shared" si="8"/>
        <v>5.5987800000000014</v>
      </c>
      <c r="O29" s="11">
        <f t="shared" si="9"/>
        <v>0</v>
      </c>
      <c r="P29" s="11">
        <f t="shared" ref="P29:P132" si="10">H29*0.0185</f>
        <v>0.15927568525000005</v>
      </c>
      <c r="Q29" s="11">
        <f t="shared" ref="Q29:Q132" si="11">P29*B29</f>
        <v>0</v>
      </c>
      <c r="R29" s="415"/>
      <c r="S29" s="415"/>
    </row>
    <row r="30" spans="1:19" s="180" customFormat="1" ht="13.5" thickBot="1">
      <c r="A30" s="1328"/>
      <c r="B30" s="416"/>
      <c r="C30" s="532" t="s">
        <v>4022</v>
      </c>
      <c r="D30" s="960" t="s">
        <v>4023</v>
      </c>
      <c r="E30" s="172">
        <v>1945</v>
      </c>
      <c r="F30" s="8">
        <f t="shared" si="0"/>
        <v>1069.75</v>
      </c>
      <c r="G30" s="9">
        <f t="shared" si="1"/>
        <v>0</v>
      </c>
      <c r="H30" s="52">
        <f t="shared" si="2"/>
        <v>33.558057500000004</v>
      </c>
      <c r="I30" s="11">
        <f t="shared" si="3"/>
        <v>0</v>
      </c>
      <c r="J30" s="11">
        <f t="shared" si="4"/>
        <v>29.311150000000001</v>
      </c>
      <c r="K30" s="11">
        <f t="shared" si="5"/>
        <v>0</v>
      </c>
      <c r="L30" s="11">
        <f t="shared" si="6"/>
        <v>24.3903</v>
      </c>
      <c r="M30" s="11">
        <f t="shared" si="7"/>
        <v>0</v>
      </c>
      <c r="N30" s="11">
        <f t="shared" si="8"/>
        <v>21.822900000000001</v>
      </c>
      <c r="O30" s="11">
        <f t="shared" si="9"/>
        <v>0</v>
      </c>
      <c r="P30" s="11">
        <f t="shared" si="10"/>
        <v>0.62082406374999999</v>
      </c>
      <c r="Q30" s="11">
        <f t="shared" si="11"/>
        <v>0</v>
      </c>
      <c r="R30" s="415"/>
      <c r="S30" s="415"/>
    </row>
    <row r="31" spans="1:19" s="180" customFormat="1" ht="13.5" thickBot="1">
      <c r="A31" s="1328"/>
      <c r="B31" s="416"/>
      <c r="C31" s="532" t="s">
        <v>4024</v>
      </c>
      <c r="D31" s="960" t="s">
        <v>4025</v>
      </c>
      <c r="E31" s="172">
        <v>5708.58</v>
      </c>
      <c r="F31" s="8">
        <f t="shared" si="0"/>
        <v>3139.7190000000001</v>
      </c>
      <c r="G31" s="9">
        <f t="shared" si="1"/>
        <v>0</v>
      </c>
      <c r="H31" s="52">
        <f t="shared" si="2"/>
        <v>98.492985030000014</v>
      </c>
      <c r="I31" s="11">
        <f t="shared" si="3"/>
        <v>0</v>
      </c>
      <c r="J31" s="11">
        <f t="shared" si="4"/>
        <v>86.028300600000009</v>
      </c>
      <c r="K31" s="11">
        <f t="shared" si="5"/>
        <v>0</v>
      </c>
      <c r="L31" s="11">
        <f t="shared" si="6"/>
        <v>71.585593200000005</v>
      </c>
      <c r="M31" s="11">
        <f t="shared" si="7"/>
        <v>0</v>
      </c>
      <c r="N31" s="11">
        <f t="shared" si="8"/>
        <v>64.050267600000012</v>
      </c>
      <c r="O31" s="11">
        <f t="shared" si="9"/>
        <v>0</v>
      </c>
      <c r="P31" s="11">
        <f t="shared" si="10"/>
        <v>1.8221202230550002</v>
      </c>
      <c r="Q31" s="11">
        <f t="shared" si="11"/>
        <v>0</v>
      </c>
      <c r="R31" s="415"/>
      <c r="S31" s="415"/>
    </row>
    <row r="32" spans="1:19" s="180" customFormat="1" ht="13.5" thickBot="1">
      <c r="A32" s="1328"/>
      <c r="B32" s="416"/>
      <c r="C32" s="532" t="s">
        <v>3980</v>
      </c>
      <c r="D32" s="960" t="s">
        <v>3981</v>
      </c>
      <c r="E32" s="172">
        <v>5000</v>
      </c>
      <c r="F32" s="8">
        <f t="shared" si="0"/>
        <v>2750</v>
      </c>
      <c r="G32" s="9">
        <f t="shared" si="1"/>
        <v>0</v>
      </c>
      <c r="H32" s="52">
        <f t="shared" si="2"/>
        <v>86.267500000000013</v>
      </c>
      <c r="I32" s="11">
        <f t="shared" si="3"/>
        <v>0</v>
      </c>
      <c r="J32" s="11">
        <f t="shared" si="4"/>
        <v>75.350000000000009</v>
      </c>
      <c r="K32" s="11">
        <f t="shared" si="5"/>
        <v>0</v>
      </c>
      <c r="L32" s="11">
        <f t="shared" si="6"/>
        <v>62.7</v>
      </c>
      <c r="M32" s="11">
        <f t="shared" si="7"/>
        <v>0</v>
      </c>
      <c r="N32" s="11">
        <f t="shared" si="8"/>
        <v>56.1</v>
      </c>
      <c r="O32" s="11">
        <f t="shared" si="9"/>
        <v>0</v>
      </c>
      <c r="P32" s="11">
        <f t="shared" si="10"/>
        <v>1.5959487500000002</v>
      </c>
      <c r="Q32" s="11">
        <f t="shared" si="11"/>
        <v>0</v>
      </c>
      <c r="R32" s="415"/>
      <c r="S32" s="415"/>
    </row>
    <row r="33" spans="1:19" s="180" customFormat="1" ht="13.5" thickBot="1">
      <c r="A33" s="1328"/>
      <c r="B33" s="416"/>
      <c r="C33" s="891" t="s">
        <v>105</v>
      </c>
      <c r="D33" s="575" t="s">
        <v>325</v>
      </c>
      <c r="E33" s="174">
        <v>399</v>
      </c>
      <c r="F33" s="8">
        <f t="shared" si="0"/>
        <v>219.45000000000002</v>
      </c>
      <c r="G33" s="9">
        <f t="shared" si="1"/>
        <v>0</v>
      </c>
      <c r="H33" s="52">
        <f t="shared" si="2"/>
        <v>6.8841465000000008</v>
      </c>
      <c r="I33" s="11">
        <f t="shared" si="3"/>
        <v>0</v>
      </c>
      <c r="J33" s="11">
        <f t="shared" si="4"/>
        <v>6.0129300000000008</v>
      </c>
      <c r="K33" s="11">
        <f t="shared" si="5"/>
        <v>0</v>
      </c>
      <c r="L33" s="11">
        <f t="shared" si="6"/>
        <v>5.0034600000000005</v>
      </c>
      <c r="M33" s="11">
        <f t="shared" si="7"/>
        <v>0</v>
      </c>
      <c r="N33" s="11">
        <f t="shared" si="8"/>
        <v>4.4767800000000006</v>
      </c>
      <c r="O33" s="11">
        <f t="shared" si="9"/>
        <v>0</v>
      </c>
      <c r="P33" s="11">
        <f t="shared" si="10"/>
        <v>0.12735671025</v>
      </c>
      <c r="Q33" s="11">
        <f t="shared" si="11"/>
        <v>0</v>
      </c>
      <c r="R33" s="415"/>
      <c r="S33" s="415"/>
    </row>
    <row r="34" spans="1:19" s="180" customFormat="1" ht="13.5" thickBot="1">
      <c r="A34" s="1328"/>
      <c r="B34" s="416"/>
      <c r="C34" s="532" t="s">
        <v>3982</v>
      </c>
      <c r="D34" s="960" t="s">
        <v>3983</v>
      </c>
      <c r="E34" s="172">
        <v>2800</v>
      </c>
      <c r="F34" s="8">
        <f t="shared" si="0"/>
        <v>1540.0000000000002</v>
      </c>
      <c r="G34" s="9">
        <f t="shared" si="1"/>
        <v>0</v>
      </c>
      <c r="H34" s="52">
        <f t="shared" si="2"/>
        <v>48.30980000000001</v>
      </c>
      <c r="I34" s="11">
        <f t="shared" si="3"/>
        <v>0</v>
      </c>
      <c r="J34" s="11">
        <f t="shared" si="4"/>
        <v>42.196000000000005</v>
      </c>
      <c r="K34" s="11">
        <f t="shared" si="5"/>
        <v>0</v>
      </c>
      <c r="L34" s="11">
        <f t="shared" si="6"/>
        <v>35.112000000000009</v>
      </c>
      <c r="M34" s="11">
        <f t="shared" si="7"/>
        <v>0</v>
      </c>
      <c r="N34" s="11">
        <f t="shared" si="8"/>
        <v>31.416000000000007</v>
      </c>
      <c r="O34" s="11">
        <f t="shared" si="9"/>
        <v>0</v>
      </c>
      <c r="P34" s="11">
        <f t="shared" si="10"/>
        <v>0.89373130000000012</v>
      </c>
      <c r="Q34" s="11">
        <f t="shared" si="11"/>
        <v>0</v>
      </c>
      <c r="R34" s="415"/>
      <c r="S34" s="415"/>
    </row>
    <row r="35" spans="1:19" s="180" customFormat="1" ht="13.5" thickBot="1">
      <c r="A35" s="1328"/>
      <c r="B35" s="416"/>
      <c r="C35" s="532" t="s">
        <v>4003</v>
      </c>
      <c r="D35" s="960" t="s">
        <v>4004</v>
      </c>
      <c r="E35" s="172">
        <v>5000</v>
      </c>
      <c r="F35" s="8">
        <f t="shared" si="0"/>
        <v>2750</v>
      </c>
      <c r="G35" s="10">
        <f t="shared" si="1"/>
        <v>0</v>
      </c>
      <c r="H35" s="11">
        <f t="shared" si="2"/>
        <v>86.267500000000013</v>
      </c>
      <c r="I35" s="11">
        <f t="shared" si="3"/>
        <v>0</v>
      </c>
      <c r="J35" s="11">
        <f t="shared" si="4"/>
        <v>75.350000000000009</v>
      </c>
      <c r="K35" s="11">
        <f t="shared" si="5"/>
        <v>0</v>
      </c>
      <c r="L35" s="11">
        <f t="shared" si="6"/>
        <v>62.7</v>
      </c>
      <c r="M35" s="11">
        <f t="shared" si="7"/>
        <v>0</v>
      </c>
      <c r="N35" s="11">
        <f t="shared" si="8"/>
        <v>56.1</v>
      </c>
      <c r="O35" s="11">
        <f t="shared" si="9"/>
        <v>0</v>
      </c>
      <c r="P35" s="11">
        <f t="shared" si="10"/>
        <v>1.5959487500000002</v>
      </c>
      <c r="Q35" s="11">
        <f t="shared" si="11"/>
        <v>0</v>
      </c>
      <c r="R35" s="415"/>
      <c r="S35" s="415"/>
    </row>
    <row r="36" spans="1:19" s="180" customFormat="1" ht="13.5" thickBot="1">
      <c r="A36" s="1328"/>
      <c r="B36" s="416"/>
      <c r="C36" s="532" t="s">
        <v>1193</v>
      </c>
      <c r="D36" s="960" t="s">
        <v>1194</v>
      </c>
      <c r="E36" s="172">
        <v>13953.14</v>
      </c>
      <c r="F36" s="8">
        <f t="shared" si="0"/>
        <v>7674.2269999999999</v>
      </c>
      <c r="G36" s="9">
        <f t="shared" si="1"/>
        <v>0</v>
      </c>
      <c r="H36" s="52">
        <f t="shared" si="2"/>
        <v>240.74050099000002</v>
      </c>
      <c r="I36" s="11">
        <f t="shared" si="3"/>
        <v>0</v>
      </c>
      <c r="J36" s="11">
        <f t="shared" si="4"/>
        <v>210.27381980000001</v>
      </c>
      <c r="K36" s="11">
        <f t="shared" si="5"/>
        <v>0</v>
      </c>
      <c r="L36" s="11">
        <f t="shared" si="6"/>
        <v>174.97237559999999</v>
      </c>
      <c r="M36" s="11">
        <f t="shared" si="7"/>
        <v>0</v>
      </c>
      <c r="N36" s="11">
        <f t="shared" si="8"/>
        <v>156.5542308</v>
      </c>
      <c r="O36" s="11">
        <f t="shared" si="9"/>
        <v>0</v>
      </c>
      <c r="P36" s="11">
        <f t="shared" si="10"/>
        <v>4.4536992683149998</v>
      </c>
      <c r="Q36" s="11">
        <f t="shared" si="11"/>
        <v>0</v>
      </c>
      <c r="R36" s="415"/>
      <c r="S36" s="415"/>
    </row>
    <row r="37" spans="1:19" s="175" customFormat="1" ht="13.5" thickBot="1">
      <c r="A37" s="1328"/>
      <c r="B37" s="873"/>
      <c r="C37" s="891" t="s">
        <v>1197</v>
      </c>
      <c r="D37" s="575" t="s">
        <v>4096</v>
      </c>
      <c r="E37" s="174">
        <v>4436.03</v>
      </c>
      <c r="F37" s="52">
        <f t="shared" si="0"/>
        <v>2439.8164999999999</v>
      </c>
      <c r="G37" s="53">
        <f t="shared" si="1"/>
        <v>0</v>
      </c>
      <c r="H37" s="52">
        <f t="shared" si="2"/>
        <v>76.537043605000008</v>
      </c>
      <c r="I37" s="11">
        <f t="shared" si="3"/>
        <v>0</v>
      </c>
      <c r="J37" s="11">
        <f>F37*0.02564</f>
        <v>62.556895059999995</v>
      </c>
      <c r="K37" s="11">
        <f t="shared" si="5"/>
        <v>0</v>
      </c>
      <c r="L37" s="11">
        <f>F37*0.0256</f>
        <v>62.459302399999999</v>
      </c>
      <c r="M37" s="11">
        <f t="shared" si="7"/>
        <v>0</v>
      </c>
      <c r="N37" s="11">
        <f t="shared" si="8"/>
        <v>49.772256599999999</v>
      </c>
      <c r="O37" s="11">
        <f t="shared" si="9"/>
        <v>0</v>
      </c>
      <c r="P37" s="11">
        <f t="shared" si="10"/>
        <v>1.4159353066925</v>
      </c>
      <c r="Q37" s="11">
        <f t="shared" si="11"/>
        <v>0</v>
      </c>
      <c r="R37" s="892"/>
      <c r="S37" s="892"/>
    </row>
    <row r="38" spans="1:19" s="175" customFormat="1" ht="13.5" thickBot="1">
      <c r="A38" s="1328"/>
      <c r="B38" s="873"/>
      <c r="C38" s="532" t="s">
        <v>1195</v>
      </c>
      <c r="D38" s="960" t="s">
        <v>1196</v>
      </c>
      <c r="E38" s="172">
        <v>3699.7</v>
      </c>
      <c r="F38" s="52">
        <f t="shared" si="0"/>
        <v>2034.835</v>
      </c>
      <c r="G38" s="53">
        <f t="shared" si="1"/>
        <v>0</v>
      </c>
      <c r="H38" s="52">
        <f t="shared" si="2"/>
        <v>63.832773950000004</v>
      </c>
      <c r="I38" s="11">
        <f t="shared" si="3"/>
        <v>0</v>
      </c>
      <c r="J38" s="11">
        <f>F38*0.02564</f>
        <v>52.173169399999999</v>
      </c>
      <c r="K38" s="11">
        <f t="shared" si="5"/>
        <v>0</v>
      </c>
      <c r="L38" s="11">
        <f t="shared" si="6"/>
        <v>46.394238000000001</v>
      </c>
      <c r="M38" s="11">
        <f t="shared" si="7"/>
        <v>0</v>
      </c>
      <c r="N38" s="11">
        <f t="shared" si="8"/>
        <v>41.510634000000003</v>
      </c>
      <c r="O38" s="11">
        <f t="shared" si="9"/>
        <v>0</v>
      </c>
      <c r="P38" s="11">
        <f t="shared" si="10"/>
        <v>1.1809063180749999</v>
      </c>
      <c r="Q38" s="11">
        <f t="shared" si="11"/>
        <v>0</v>
      </c>
      <c r="R38" s="892"/>
      <c r="S38" s="892"/>
    </row>
    <row r="39" spans="1:19" s="175" customFormat="1" ht="13.5" thickBot="1">
      <c r="A39" s="1328"/>
      <c r="B39" s="873"/>
      <c r="C39" s="891" t="s">
        <v>1089</v>
      </c>
      <c r="D39" s="575" t="s">
        <v>1090</v>
      </c>
      <c r="E39" s="174">
        <v>3606.97</v>
      </c>
      <c r="F39" s="52">
        <f t="shared" si="0"/>
        <v>1983.8335</v>
      </c>
      <c r="G39" s="53">
        <f t="shared" si="1"/>
        <v>0</v>
      </c>
      <c r="H39" s="52">
        <f t="shared" si="2"/>
        <v>62.232856895000005</v>
      </c>
      <c r="I39" s="11">
        <f t="shared" si="3"/>
        <v>0</v>
      </c>
      <c r="J39" s="11">
        <f t="shared" si="4"/>
        <v>54.357037900000002</v>
      </c>
      <c r="K39" s="11">
        <f t="shared" si="5"/>
        <v>0</v>
      </c>
      <c r="L39" s="11">
        <f t="shared" si="6"/>
        <v>45.231403800000002</v>
      </c>
      <c r="M39" s="11">
        <f t="shared" si="7"/>
        <v>0</v>
      </c>
      <c r="N39" s="11">
        <f t="shared" si="8"/>
        <v>40.470203400000003</v>
      </c>
      <c r="O39" s="11">
        <f t="shared" si="9"/>
        <v>0</v>
      </c>
      <c r="P39" s="11">
        <f t="shared" si="10"/>
        <v>1.1513078525575</v>
      </c>
      <c r="Q39" s="11">
        <f t="shared" si="11"/>
        <v>0</v>
      </c>
      <c r="R39" s="892"/>
      <c r="S39" s="892"/>
    </row>
    <row r="40" spans="1:19" s="180" customFormat="1" ht="13.5" thickBot="1">
      <c r="A40" s="1328"/>
      <c r="B40" s="416"/>
      <c r="C40" s="532" t="s">
        <v>1069</v>
      </c>
      <c r="D40" s="960" t="s">
        <v>1070</v>
      </c>
      <c r="E40" s="174">
        <v>1701.26</v>
      </c>
      <c r="F40" s="8">
        <f t="shared" si="0"/>
        <v>935.6930000000001</v>
      </c>
      <c r="G40" s="9">
        <f t="shared" si="1"/>
        <v>0</v>
      </c>
      <c r="H40" s="52">
        <f t="shared" si="2"/>
        <v>29.352689410000004</v>
      </c>
      <c r="I40" s="11">
        <f t="shared" si="3"/>
        <v>0</v>
      </c>
      <c r="J40" s="11">
        <f t="shared" si="4"/>
        <v>25.637988200000002</v>
      </c>
      <c r="K40" s="11">
        <f t="shared" si="5"/>
        <v>0</v>
      </c>
      <c r="L40" s="11">
        <f t="shared" si="6"/>
        <v>21.333800400000001</v>
      </c>
      <c r="M40" s="11">
        <f t="shared" si="7"/>
        <v>0</v>
      </c>
      <c r="N40" s="11">
        <f t="shared" si="8"/>
        <v>19.088137200000002</v>
      </c>
      <c r="O40" s="11">
        <f t="shared" si="9"/>
        <v>0</v>
      </c>
      <c r="P40" s="11">
        <f t="shared" si="10"/>
        <v>0.54302475408500006</v>
      </c>
      <c r="Q40" s="11">
        <f t="shared" si="11"/>
        <v>0</v>
      </c>
      <c r="R40" s="415"/>
      <c r="S40" s="415"/>
    </row>
    <row r="41" spans="1:19" s="180" customFormat="1" ht="13.5" thickBot="1">
      <c r="A41" s="1328"/>
      <c r="B41" s="416"/>
      <c r="C41" s="532" t="s">
        <v>1095</v>
      </c>
      <c r="D41" s="960" t="s">
        <v>1096</v>
      </c>
      <c r="E41" s="172">
        <v>4637.54</v>
      </c>
      <c r="F41" s="8">
        <f t="shared" si="0"/>
        <v>2550.6470000000004</v>
      </c>
      <c r="G41" s="9">
        <f t="shared" si="1"/>
        <v>0</v>
      </c>
      <c r="H41" s="52">
        <f t="shared" si="2"/>
        <v>80.013796390000024</v>
      </c>
      <c r="I41" s="11">
        <f t="shared" si="3"/>
        <v>0</v>
      </c>
      <c r="J41" s="11">
        <f t="shared" si="4"/>
        <v>69.887727800000008</v>
      </c>
      <c r="K41" s="11">
        <f t="shared" si="5"/>
        <v>0</v>
      </c>
      <c r="L41" s="11">
        <f t="shared" si="6"/>
        <v>58.154751600000012</v>
      </c>
      <c r="M41" s="11">
        <f t="shared" si="7"/>
        <v>0</v>
      </c>
      <c r="N41" s="11">
        <f t="shared" si="8"/>
        <v>52.033198800000015</v>
      </c>
      <c r="O41" s="11">
        <f t="shared" si="9"/>
        <v>0</v>
      </c>
      <c r="P41" s="11">
        <f t="shared" si="10"/>
        <v>1.4802552332150003</v>
      </c>
      <c r="Q41" s="11">
        <f t="shared" si="11"/>
        <v>0</v>
      </c>
      <c r="R41" s="415"/>
      <c r="S41" s="415"/>
    </row>
    <row r="42" spans="1:19" s="180" customFormat="1" ht="13.5" thickBot="1">
      <c r="A42" s="1328"/>
      <c r="B42" s="416"/>
      <c r="C42" s="532" t="s">
        <v>1083</v>
      </c>
      <c r="D42" s="960" t="s">
        <v>1084</v>
      </c>
      <c r="E42" s="172">
        <v>1422.19</v>
      </c>
      <c r="F42" s="8">
        <f t="shared" si="0"/>
        <v>782.20450000000005</v>
      </c>
      <c r="G42" s="10">
        <f t="shared" si="1"/>
        <v>0</v>
      </c>
      <c r="H42" s="11">
        <f t="shared" si="2"/>
        <v>24.537755165000004</v>
      </c>
      <c r="I42" s="11">
        <f t="shared" si="3"/>
        <v>0</v>
      </c>
      <c r="J42" s="11">
        <f t="shared" si="4"/>
        <v>21.432403300000001</v>
      </c>
      <c r="K42" s="11">
        <f t="shared" si="5"/>
        <v>0</v>
      </c>
      <c r="L42" s="11">
        <f t="shared" si="6"/>
        <v>17.834262600000002</v>
      </c>
      <c r="M42" s="11">
        <f t="shared" si="7"/>
        <v>0</v>
      </c>
      <c r="N42" s="11">
        <f t="shared" si="8"/>
        <v>15.956971800000002</v>
      </c>
      <c r="O42" s="11">
        <f t="shared" si="9"/>
        <v>0</v>
      </c>
      <c r="P42" s="11">
        <f t="shared" si="10"/>
        <v>0.45394847055250004</v>
      </c>
      <c r="Q42" s="11">
        <f t="shared" si="11"/>
        <v>0</v>
      </c>
      <c r="R42" s="415"/>
      <c r="S42" s="415"/>
    </row>
    <row r="43" spans="1:19" s="180" customFormat="1" ht="13.5" thickBot="1">
      <c r="A43" s="1328"/>
      <c r="B43" s="416"/>
      <c r="C43" s="532" t="s">
        <v>1071</v>
      </c>
      <c r="D43" s="960" t="s">
        <v>1072</v>
      </c>
      <c r="E43" s="172">
        <v>1701.26</v>
      </c>
      <c r="F43" s="8">
        <f t="shared" si="0"/>
        <v>935.6930000000001</v>
      </c>
      <c r="G43" s="10">
        <f t="shared" si="1"/>
        <v>0</v>
      </c>
      <c r="H43" s="11">
        <f t="shared" si="2"/>
        <v>29.352689410000004</v>
      </c>
      <c r="I43" s="11">
        <f t="shared" si="3"/>
        <v>0</v>
      </c>
      <c r="J43" s="11">
        <f t="shared" si="4"/>
        <v>25.637988200000002</v>
      </c>
      <c r="K43" s="11">
        <f t="shared" si="5"/>
        <v>0</v>
      </c>
      <c r="L43" s="11">
        <f t="shared" si="6"/>
        <v>21.333800400000001</v>
      </c>
      <c r="M43" s="11">
        <f t="shared" si="7"/>
        <v>0</v>
      </c>
      <c r="N43" s="11">
        <f t="shared" si="8"/>
        <v>19.088137200000002</v>
      </c>
      <c r="O43" s="11">
        <f t="shared" si="9"/>
        <v>0</v>
      </c>
      <c r="P43" s="11">
        <f t="shared" si="10"/>
        <v>0.54302475408500006</v>
      </c>
      <c r="Q43" s="11">
        <f t="shared" si="11"/>
        <v>0</v>
      </c>
      <c r="R43" s="415"/>
      <c r="S43" s="415"/>
    </row>
    <row r="44" spans="1:19" s="180" customFormat="1" ht="13.5" thickBot="1">
      <c r="A44" s="1328"/>
      <c r="B44" s="416"/>
      <c r="C44" s="532" t="s">
        <v>1085</v>
      </c>
      <c r="D44" s="960" t="s">
        <v>1086</v>
      </c>
      <c r="E44" s="172">
        <v>1545.83</v>
      </c>
      <c r="F44" s="8">
        <f t="shared" si="0"/>
        <v>850.20650000000001</v>
      </c>
      <c r="G44" s="10">
        <f t="shared" si="1"/>
        <v>0</v>
      </c>
      <c r="H44" s="11">
        <f t="shared" si="2"/>
        <v>26.670977905000001</v>
      </c>
      <c r="I44" s="11">
        <f t="shared" si="3"/>
        <v>0</v>
      </c>
      <c r="J44" s="11">
        <f t="shared" si="4"/>
        <v>23.295658100000001</v>
      </c>
      <c r="K44" s="11">
        <f t="shared" si="5"/>
        <v>0</v>
      </c>
      <c r="L44" s="11">
        <f t="shared" si="6"/>
        <v>19.384708200000002</v>
      </c>
      <c r="M44" s="11">
        <f t="shared" si="7"/>
        <v>0</v>
      </c>
      <c r="N44" s="11">
        <f t="shared" si="8"/>
        <v>17.344212600000002</v>
      </c>
      <c r="O44" s="11">
        <f t="shared" si="9"/>
        <v>0</v>
      </c>
      <c r="P44" s="11">
        <f t="shared" si="10"/>
        <v>0.49341309124249999</v>
      </c>
      <c r="Q44" s="11">
        <f t="shared" si="11"/>
        <v>0</v>
      </c>
      <c r="R44" s="415"/>
      <c r="S44" s="415"/>
    </row>
    <row r="45" spans="1:19" s="180" customFormat="1" ht="13.5" thickBot="1">
      <c r="A45" s="1328"/>
      <c r="B45" s="416"/>
      <c r="C45" s="532" t="s">
        <v>1073</v>
      </c>
      <c r="D45" s="960" t="s">
        <v>1074</v>
      </c>
      <c r="E45" s="174">
        <v>1701.26</v>
      </c>
      <c r="F45" s="8">
        <f t="shared" si="0"/>
        <v>935.6930000000001</v>
      </c>
      <c r="G45" s="10">
        <f t="shared" si="1"/>
        <v>0</v>
      </c>
      <c r="H45" s="11">
        <f t="shared" si="2"/>
        <v>29.352689410000004</v>
      </c>
      <c r="I45" s="11">
        <f t="shared" si="3"/>
        <v>0</v>
      </c>
      <c r="J45" s="11">
        <f t="shared" si="4"/>
        <v>25.637988200000002</v>
      </c>
      <c r="K45" s="11">
        <f t="shared" si="5"/>
        <v>0</v>
      </c>
      <c r="L45" s="11">
        <f t="shared" si="6"/>
        <v>21.333800400000001</v>
      </c>
      <c r="M45" s="11">
        <f t="shared" si="7"/>
        <v>0</v>
      </c>
      <c r="N45" s="11">
        <f t="shared" si="8"/>
        <v>19.088137200000002</v>
      </c>
      <c r="O45" s="11">
        <f t="shared" si="9"/>
        <v>0</v>
      </c>
      <c r="P45" s="11">
        <f t="shared" si="10"/>
        <v>0.54302475408500006</v>
      </c>
      <c r="Q45" s="11">
        <f t="shared" si="11"/>
        <v>0</v>
      </c>
      <c r="R45" s="415"/>
      <c r="S45" s="415"/>
    </row>
    <row r="46" spans="1:19" s="180" customFormat="1" ht="13.5" thickBot="1">
      <c r="A46" s="1328"/>
      <c r="B46" s="416"/>
      <c r="C46" s="796" t="s">
        <v>1087</v>
      </c>
      <c r="D46" s="961" t="s">
        <v>1088</v>
      </c>
      <c r="E46" s="177">
        <v>1545.83</v>
      </c>
      <c r="F46" s="8">
        <f t="shared" si="0"/>
        <v>850.20650000000001</v>
      </c>
      <c r="G46" s="10">
        <f t="shared" si="1"/>
        <v>0</v>
      </c>
      <c r="H46" s="11">
        <f t="shared" si="2"/>
        <v>26.670977905000001</v>
      </c>
      <c r="I46" s="11">
        <f t="shared" si="3"/>
        <v>0</v>
      </c>
      <c r="J46" s="11">
        <f t="shared" si="4"/>
        <v>23.295658100000001</v>
      </c>
      <c r="K46" s="11">
        <f t="shared" si="5"/>
        <v>0</v>
      </c>
      <c r="L46" s="11">
        <f t="shared" si="6"/>
        <v>19.384708200000002</v>
      </c>
      <c r="M46" s="11">
        <f t="shared" si="7"/>
        <v>0</v>
      </c>
      <c r="N46" s="11">
        <f t="shared" si="8"/>
        <v>17.344212600000002</v>
      </c>
      <c r="O46" s="11">
        <f t="shared" si="9"/>
        <v>0</v>
      </c>
      <c r="P46" s="11">
        <f t="shared" si="10"/>
        <v>0.49341309124249999</v>
      </c>
      <c r="Q46" s="11">
        <f t="shared" si="11"/>
        <v>0</v>
      </c>
      <c r="R46" s="415"/>
      <c r="S46" s="415"/>
    </row>
    <row r="47" spans="1:19" s="180" customFormat="1" ht="13.5" thickBot="1">
      <c r="A47" s="1328"/>
      <c r="B47" s="416"/>
      <c r="C47" s="891" t="s">
        <v>1079</v>
      </c>
      <c r="D47" s="575" t="s">
        <v>1080</v>
      </c>
      <c r="E47" s="174">
        <v>1545.83</v>
      </c>
      <c r="F47" s="8">
        <f t="shared" si="0"/>
        <v>850.20650000000001</v>
      </c>
      <c r="G47" s="10">
        <f t="shared" si="1"/>
        <v>0</v>
      </c>
      <c r="H47" s="11">
        <f t="shared" si="2"/>
        <v>26.670977905000001</v>
      </c>
      <c r="I47" s="11">
        <f t="shared" si="3"/>
        <v>0</v>
      </c>
      <c r="J47" s="11">
        <f t="shared" si="4"/>
        <v>23.295658100000001</v>
      </c>
      <c r="K47" s="11">
        <f t="shared" si="5"/>
        <v>0</v>
      </c>
      <c r="L47" s="11">
        <f t="shared" si="6"/>
        <v>19.384708200000002</v>
      </c>
      <c r="M47" s="11">
        <f t="shared" si="7"/>
        <v>0</v>
      </c>
      <c r="N47" s="11">
        <f t="shared" si="8"/>
        <v>17.344212600000002</v>
      </c>
      <c r="O47" s="11">
        <f t="shared" si="9"/>
        <v>0</v>
      </c>
      <c r="P47" s="11">
        <f t="shared" si="10"/>
        <v>0.49341309124249999</v>
      </c>
      <c r="Q47" s="11">
        <f t="shared" si="11"/>
        <v>0</v>
      </c>
      <c r="R47" s="415"/>
      <c r="S47" s="415"/>
    </row>
    <row r="48" spans="1:19" s="180" customFormat="1" ht="13.5" thickBot="1">
      <c r="A48" s="1328"/>
      <c r="B48" s="416"/>
      <c r="C48" s="532" t="s">
        <v>1075</v>
      </c>
      <c r="D48" s="960" t="s">
        <v>1076</v>
      </c>
      <c r="E48" s="172">
        <v>1545.83</v>
      </c>
      <c r="F48" s="8">
        <f t="shared" si="0"/>
        <v>850.20650000000001</v>
      </c>
      <c r="G48" s="10">
        <f t="shared" si="1"/>
        <v>0</v>
      </c>
      <c r="H48" s="11">
        <f t="shared" si="2"/>
        <v>26.670977905000001</v>
      </c>
      <c r="I48" s="11">
        <f t="shared" si="3"/>
        <v>0</v>
      </c>
      <c r="J48" s="11">
        <f t="shared" si="4"/>
        <v>23.295658100000001</v>
      </c>
      <c r="K48" s="11">
        <f t="shared" si="5"/>
        <v>0</v>
      </c>
      <c r="L48" s="11">
        <f t="shared" si="6"/>
        <v>19.384708200000002</v>
      </c>
      <c r="M48" s="11">
        <f t="shared" si="7"/>
        <v>0</v>
      </c>
      <c r="N48" s="11">
        <f t="shared" si="8"/>
        <v>17.344212600000002</v>
      </c>
      <c r="O48" s="11">
        <f t="shared" si="9"/>
        <v>0</v>
      </c>
      <c r="P48" s="11">
        <f t="shared" si="10"/>
        <v>0.49341309124249999</v>
      </c>
      <c r="Q48" s="11">
        <f t="shared" si="11"/>
        <v>0</v>
      </c>
      <c r="R48" s="415"/>
      <c r="S48" s="415"/>
    </row>
    <row r="49" spans="1:19" s="180" customFormat="1" ht="13.5" thickBot="1">
      <c r="A49" s="1328"/>
      <c r="B49" s="416"/>
      <c r="C49" s="891" t="s">
        <v>1097</v>
      </c>
      <c r="D49" s="575" t="s">
        <v>1098</v>
      </c>
      <c r="E49" s="174">
        <v>2679.44</v>
      </c>
      <c r="F49" s="8">
        <f t="shared" si="0"/>
        <v>1473.6920000000002</v>
      </c>
      <c r="G49" s="10">
        <f t="shared" si="1"/>
        <v>0</v>
      </c>
      <c r="H49" s="11">
        <f t="shared" si="2"/>
        <v>46.229718040000009</v>
      </c>
      <c r="I49" s="11">
        <f t="shared" si="3"/>
        <v>0</v>
      </c>
      <c r="J49" s="11">
        <f t="shared" si="4"/>
        <v>40.379160800000008</v>
      </c>
      <c r="K49" s="11">
        <f t="shared" si="5"/>
        <v>0</v>
      </c>
      <c r="L49" s="11">
        <f t="shared" si="6"/>
        <v>33.600177600000009</v>
      </c>
      <c r="M49" s="11">
        <f t="shared" si="7"/>
        <v>0</v>
      </c>
      <c r="N49" s="11">
        <f t="shared" si="8"/>
        <v>30.063316800000006</v>
      </c>
      <c r="O49" s="11">
        <f t="shared" si="9"/>
        <v>0</v>
      </c>
      <c r="P49" s="11">
        <f t="shared" si="10"/>
        <v>0.85524978374000016</v>
      </c>
      <c r="Q49" s="11">
        <f t="shared" si="11"/>
        <v>0</v>
      </c>
      <c r="R49" s="415"/>
      <c r="S49" s="415"/>
    </row>
    <row r="50" spans="1:19" s="180" customFormat="1" ht="13.5" thickBot="1">
      <c r="A50" s="1328"/>
      <c r="B50" s="416"/>
      <c r="C50" s="891" t="s">
        <v>1077</v>
      </c>
      <c r="D50" s="575" t="s">
        <v>1078</v>
      </c>
      <c r="E50" s="174">
        <v>1545.83</v>
      </c>
      <c r="F50" s="8">
        <f t="shared" si="0"/>
        <v>850.20650000000001</v>
      </c>
      <c r="G50" s="10">
        <f t="shared" si="1"/>
        <v>0</v>
      </c>
      <c r="H50" s="11">
        <f t="shared" si="2"/>
        <v>26.670977905000001</v>
      </c>
      <c r="I50" s="11">
        <f t="shared" si="3"/>
        <v>0</v>
      </c>
      <c r="J50" s="11">
        <f t="shared" si="4"/>
        <v>23.295658100000001</v>
      </c>
      <c r="K50" s="11">
        <f t="shared" si="5"/>
        <v>0</v>
      </c>
      <c r="L50" s="11">
        <f t="shared" si="6"/>
        <v>19.384708200000002</v>
      </c>
      <c r="M50" s="11">
        <f t="shared" si="7"/>
        <v>0</v>
      </c>
      <c r="N50" s="11">
        <f t="shared" si="8"/>
        <v>17.344212600000002</v>
      </c>
      <c r="O50" s="11">
        <f t="shared" si="9"/>
        <v>0</v>
      </c>
      <c r="P50" s="11">
        <f t="shared" si="10"/>
        <v>0.49341309124249999</v>
      </c>
      <c r="Q50" s="11">
        <f t="shared" si="11"/>
        <v>0</v>
      </c>
      <c r="R50" s="415"/>
      <c r="S50" s="415"/>
    </row>
    <row r="51" spans="1:19" s="180" customFormat="1" ht="13.5" thickBot="1">
      <c r="A51" s="1328"/>
      <c r="B51" s="416"/>
      <c r="C51" s="891" t="s">
        <v>1099</v>
      </c>
      <c r="D51" s="575" t="s">
        <v>1100</v>
      </c>
      <c r="E51" s="174">
        <v>5152.8100000000004</v>
      </c>
      <c r="F51" s="8">
        <f t="shared" si="0"/>
        <v>2834.0455000000006</v>
      </c>
      <c r="G51" s="10">
        <f t="shared" si="1"/>
        <v>0</v>
      </c>
      <c r="H51" s="11">
        <f t="shared" si="2"/>
        <v>88.904007335000031</v>
      </c>
      <c r="I51" s="11">
        <f t="shared" si="3"/>
        <v>0</v>
      </c>
      <c r="J51" s="11">
        <f t="shared" si="4"/>
        <v>77.652846700000026</v>
      </c>
      <c r="K51" s="11">
        <f t="shared" si="5"/>
        <v>0</v>
      </c>
      <c r="L51" s="11">
        <f t="shared" si="6"/>
        <v>64.616237400000017</v>
      </c>
      <c r="M51" s="11">
        <f t="shared" si="7"/>
        <v>0</v>
      </c>
      <c r="N51" s="11">
        <f t="shared" si="8"/>
        <v>57.814528200000019</v>
      </c>
      <c r="O51" s="11">
        <f t="shared" si="9"/>
        <v>0</v>
      </c>
      <c r="P51" s="11">
        <f t="shared" si="10"/>
        <v>1.6447241356975004</v>
      </c>
      <c r="Q51" s="11">
        <f t="shared" si="11"/>
        <v>0</v>
      </c>
      <c r="R51" s="415"/>
      <c r="S51" s="415"/>
    </row>
    <row r="52" spans="1:19" s="180" customFormat="1" ht="13.5" thickBot="1">
      <c r="A52" s="1328"/>
      <c r="B52" s="416"/>
      <c r="C52" s="532" t="s">
        <v>1091</v>
      </c>
      <c r="D52" s="960" t="s">
        <v>1092</v>
      </c>
      <c r="E52" s="172">
        <v>1648.89</v>
      </c>
      <c r="F52" s="8">
        <f t="shared" si="0"/>
        <v>906.88950000000011</v>
      </c>
      <c r="G52" s="10">
        <f t="shared" si="1"/>
        <v>0</v>
      </c>
      <c r="H52" s="11">
        <f t="shared" si="2"/>
        <v>28.449123615000005</v>
      </c>
      <c r="I52" s="11">
        <f t="shared" si="3"/>
        <v>0</v>
      </c>
      <c r="J52" s="11">
        <f t="shared" si="4"/>
        <v>24.848772300000004</v>
      </c>
      <c r="K52" s="11">
        <f t="shared" si="5"/>
        <v>0</v>
      </c>
      <c r="L52" s="11">
        <f t="shared" si="6"/>
        <v>20.677080600000004</v>
      </c>
      <c r="M52" s="11">
        <f t="shared" si="7"/>
        <v>0</v>
      </c>
      <c r="N52" s="11">
        <f t="shared" si="8"/>
        <v>18.500545800000005</v>
      </c>
      <c r="O52" s="11">
        <f t="shared" si="9"/>
        <v>0</v>
      </c>
      <c r="P52" s="11">
        <f t="shared" si="10"/>
        <v>0.52630878687750005</v>
      </c>
      <c r="Q52" s="11">
        <f t="shared" si="11"/>
        <v>0</v>
      </c>
      <c r="R52" s="415"/>
      <c r="S52" s="415"/>
    </row>
    <row r="53" spans="1:19" s="180" customFormat="1" ht="13.5" thickBot="1">
      <c r="A53" s="1328"/>
      <c r="B53" s="416"/>
      <c r="C53" s="532" t="s">
        <v>1093</v>
      </c>
      <c r="D53" s="960" t="s">
        <v>1094</v>
      </c>
      <c r="E53" s="172">
        <v>1648.89</v>
      </c>
      <c r="F53" s="8">
        <f t="shared" si="0"/>
        <v>906.88950000000011</v>
      </c>
      <c r="G53" s="10">
        <f t="shared" si="1"/>
        <v>0</v>
      </c>
      <c r="H53" s="11">
        <f t="shared" si="2"/>
        <v>28.449123615000005</v>
      </c>
      <c r="I53" s="11">
        <f t="shared" si="3"/>
        <v>0</v>
      </c>
      <c r="J53" s="11">
        <f t="shared" si="4"/>
        <v>24.848772300000004</v>
      </c>
      <c r="K53" s="11">
        <f t="shared" si="5"/>
        <v>0</v>
      </c>
      <c r="L53" s="11">
        <f t="shared" si="6"/>
        <v>20.677080600000004</v>
      </c>
      <c r="M53" s="11">
        <f t="shared" si="7"/>
        <v>0</v>
      </c>
      <c r="N53" s="11">
        <f t="shared" si="8"/>
        <v>18.500545800000005</v>
      </c>
      <c r="O53" s="11">
        <f t="shared" si="9"/>
        <v>0</v>
      </c>
      <c r="P53" s="11">
        <f t="shared" si="10"/>
        <v>0.52630878687750005</v>
      </c>
      <c r="Q53" s="11">
        <f t="shared" si="11"/>
        <v>0</v>
      </c>
      <c r="R53" s="415"/>
      <c r="S53" s="415"/>
    </row>
    <row r="54" spans="1:19" s="180" customFormat="1" ht="13.5" thickBot="1">
      <c r="A54" s="1328"/>
      <c r="B54" s="416"/>
      <c r="C54" s="532" t="s">
        <v>1161</v>
      </c>
      <c r="D54" s="960" t="s">
        <v>1162</v>
      </c>
      <c r="E54" s="172">
        <v>4159.99</v>
      </c>
      <c r="F54" s="8">
        <f t="shared" si="0"/>
        <v>2287.9945000000002</v>
      </c>
      <c r="G54" s="10">
        <f t="shared" si="1"/>
        <v>0</v>
      </c>
      <c r="H54" s="11">
        <f t="shared" si="2"/>
        <v>71.774387465000018</v>
      </c>
      <c r="I54" s="11">
        <f t="shared" si="3"/>
        <v>0</v>
      </c>
      <c r="J54" s="11">
        <f t="shared" si="4"/>
        <v>62.69104930000001</v>
      </c>
      <c r="K54" s="11">
        <f t="shared" si="5"/>
        <v>0</v>
      </c>
      <c r="L54" s="11">
        <f t="shared" si="6"/>
        <v>52.166274600000008</v>
      </c>
      <c r="M54" s="11">
        <f t="shared" si="7"/>
        <v>0</v>
      </c>
      <c r="N54" s="11">
        <f t="shared" si="8"/>
        <v>46.675087800000007</v>
      </c>
      <c r="O54" s="11">
        <f t="shared" si="9"/>
        <v>0</v>
      </c>
      <c r="P54" s="11">
        <f t="shared" si="10"/>
        <v>1.3278261681025003</v>
      </c>
      <c r="Q54" s="11">
        <f t="shared" si="11"/>
        <v>0</v>
      </c>
      <c r="R54" s="415"/>
      <c r="S54" s="415"/>
    </row>
    <row r="55" spans="1:19" s="180" customFormat="1" ht="13.5" thickBot="1">
      <c r="A55" s="1328"/>
      <c r="B55" s="416"/>
      <c r="C55" s="532" t="s">
        <v>1165</v>
      </c>
      <c r="D55" s="960" t="s">
        <v>1166</v>
      </c>
      <c r="E55" s="174">
        <v>3690.62</v>
      </c>
      <c r="F55" s="8">
        <f t="shared" si="0"/>
        <v>2029.8410000000001</v>
      </c>
      <c r="G55" s="10">
        <f t="shared" si="1"/>
        <v>0</v>
      </c>
      <c r="H55" s="11">
        <f t="shared" si="2"/>
        <v>63.67611217000001</v>
      </c>
      <c r="I55" s="11">
        <f t="shared" si="3"/>
        <v>0</v>
      </c>
      <c r="J55" s="11">
        <f t="shared" si="4"/>
        <v>55.617643400000006</v>
      </c>
      <c r="K55" s="11">
        <f t="shared" si="5"/>
        <v>0</v>
      </c>
      <c r="L55" s="11">
        <f t="shared" si="6"/>
        <v>46.280374800000004</v>
      </c>
      <c r="M55" s="11">
        <f t="shared" si="7"/>
        <v>0</v>
      </c>
      <c r="N55" s="11">
        <f t="shared" si="8"/>
        <v>41.408756400000009</v>
      </c>
      <c r="O55" s="11">
        <f t="shared" si="9"/>
        <v>0</v>
      </c>
      <c r="P55" s="11">
        <f t="shared" si="10"/>
        <v>1.1780080751450002</v>
      </c>
      <c r="Q55" s="11">
        <f t="shared" si="11"/>
        <v>0</v>
      </c>
      <c r="R55" s="415"/>
      <c r="S55" s="415"/>
    </row>
    <row r="56" spans="1:19" s="180" customFormat="1" ht="13.5" thickBot="1">
      <c r="A56" s="1328"/>
      <c r="B56" s="416"/>
      <c r="C56" s="891" t="s">
        <v>1163</v>
      </c>
      <c r="D56" s="575" t="s">
        <v>1164</v>
      </c>
      <c r="E56" s="174">
        <v>3690.62</v>
      </c>
      <c r="F56" s="8">
        <f t="shared" si="0"/>
        <v>2029.8410000000001</v>
      </c>
      <c r="G56" s="9">
        <f t="shared" si="1"/>
        <v>0</v>
      </c>
      <c r="H56" s="52">
        <f t="shared" si="2"/>
        <v>63.67611217000001</v>
      </c>
      <c r="I56" s="11">
        <f t="shared" si="3"/>
        <v>0</v>
      </c>
      <c r="J56" s="11">
        <f t="shared" si="4"/>
        <v>55.617643400000006</v>
      </c>
      <c r="K56" s="11">
        <f t="shared" si="5"/>
        <v>0</v>
      </c>
      <c r="L56" s="11">
        <f t="shared" si="6"/>
        <v>46.280374800000004</v>
      </c>
      <c r="M56" s="11">
        <f t="shared" si="7"/>
        <v>0</v>
      </c>
      <c r="N56" s="11">
        <f t="shared" si="8"/>
        <v>41.408756400000009</v>
      </c>
      <c r="O56" s="11">
        <f t="shared" si="9"/>
        <v>0</v>
      </c>
      <c r="P56" s="11">
        <f t="shared" si="10"/>
        <v>1.1780080751450002</v>
      </c>
      <c r="Q56" s="11">
        <f t="shared" si="11"/>
        <v>0</v>
      </c>
      <c r="R56" s="415"/>
      <c r="S56" s="415"/>
    </row>
    <row r="57" spans="1:19" s="180" customFormat="1" ht="13.5" thickBot="1">
      <c r="A57" s="1328"/>
      <c r="B57" s="416"/>
      <c r="C57" s="532" t="s">
        <v>1081</v>
      </c>
      <c r="D57" s="960" t="s">
        <v>1082</v>
      </c>
      <c r="E57" s="172">
        <v>1628.26</v>
      </c>
      <c r="F57" s="8">
        <f t="shared" si="0"/>
        <v>895.54300000000012</v>
      </c>
      <c r="G57" s="9">
        <f t="shared" si="1"/>
        <v>0</v>
      </c>
      <c r="H57" s="52">
        <f t="shared" si="2"/>
        <v>28.093183910000004</v>
      </c>
      <c r="I57" s="11">
        <f t="shared" si="3"/>
        <v>0</v>
      </c>
      <c r="J57" s="11">
        <f t="shared" si="4"/>
        <v>24.537878200000005</v>
      </c>
      <c r="K57" s="11">
        <f t="shared" si="5"/>
        <v>0</v>
      </c>
      <c r="L57" s="11">
        <f t="shared" si="6"/>
        <v>20.418380400000004</v>
      </c>
      <c r="M57" s="11">
        <f t="shared" si="7"/>
        <v>0</v>
      </c>
      <c r="N57" s="11">
        <f t="shared" si="8"/>
        <v>18.269077200000005</v>
      </c>
      <c r="O57" s="11">
        <f t="shared" si="9"/>
        <v>0</v>
      </c>
      <c r="P57" s="11">
        <f t="shared" si="10"/>
        <v>0.5197239023350001</v>
      </c>
      <c r="Q57" s="11">
        <f t="shared" si="11"/>
        <v>0</v>
      </c>
      <c r="R57" s="415"/>
      <c r="S57" s="415"/>
    </row>
    <row r="58" spans="1:19" s="180" customFormat="1" ht="13.5" thickBot="1">
      <c r="A58" s="1328"/>
      <c r="B58" s="416"/>
      <c r="C58" s="532" t="s">
        <v>4026</v>
      </c>
      <c r="D58" s="960" t="s">
        <v>4027</v>
      </c>
      <c r="E58" s="172">
        <v>2366.46</v>
      </c>
      <c r="F58" s="8">
        <f t="shared" si="0"/>
        <v>1301.5530000000001</v>
      </c>
      <c r="G58" s="9">
        <f t="shared" si="1"/>
        <v>0</v>
      </c>
      <c r="H58" s="52">
        <f t="shared" si="2"/>
        <v>40.829717610000003</v>
      </c>
      <c r="I58" s="11">
        <f t="shared" si="3"/>
        <v>0</v>
      </c>
      <c r="J58" s="11">
        <f t="shared" si="4"/>
        <v>35.662552200000007</v>
      </c>
      <c r="K58" s="11">
        <f t="shared" si="5"/>
        <v>0</v>
      </c>
      <c r="L58" s="11">
        <f t="shared" si="6"/>
        <v>29.675408400000002</v>
      </c>
      <c r="M58" s="11">
        <f t="shared" si="7"/>
        <v>0</v>
      </c>
      <c r="N58" s="11">
        <f t="shared" si="8"/>
        <v>26.551681200000004</v>
      </c>
      <c r="O58" s="11">
        <f t="shared" si="9"/>
        <v>0</v>
      </c>
      <c r="P58" s="11">
        <f t="shared" si="10"/>
        <v>0.75534977578500007</v>
      </c>
      <c r="Q58" s="11">
        <f t="shared" si="11"/>
        <v>0</v>
      </c>
      <c r="R58" s="415"/>
      <c r="S58" s="415"/>
    </row>
    <row r="59" spans="1:19" s="180" customFormat="1" ht="13.5" thickBot="1">
      <c r="A59" s="1328"/>
      <c r="B59" s="416"/>
      <c r="C59" s="532" t="s">
        <v>1364</v>
      </c>
      <c r="D59" s="960" t="s">
        <v>1365</v>
      </c>
      <c r="E59" s="172">
        <v>6606.6</v>
      </c>
      <c r="F59" s="8">
        <f t="shared" si="0"/>
        <v>3633.6300000000006</v>
      </c>
      <c r="G59" s="9">
        <f t="shared" si="1"/>
        <v>0</v>
      </c>
      <c r="H59" s="52">
        <f t="shared" si="2"/>
        <v>113.98697310000003</v>
      </c>
      <c r="I59" s="11">
        <f t="shared" si="3"/>
        <v>0</v>
      </c>
      <c r="J59" s="11">
        <f t="shared" si="4"/>
        <v>99.56146200000002</v>
      </c>
      <c r="K59" s="11">
        <f t="shared" si="5"/>
        <v>0</v>
      </c>
      <c r="L59" s="11">
        <f t="shared" si="6"/>
        <v>82.846764000000022</v>
      </c>
      <c r="M59" s="11">
        <f t="shared" si="7"/>
        <v>0</v>
      </c>
      <c r="N59" s="11">
        <f t="shared" si="8"/>
        <v>74.126052000000016</v>
      </c>
      <c r="O59" s="11">
        <f t="shared" si="9"/>
        <v>0</v>
      </c>
      <c r="P59" s="11">
        <f t="shared" si="10"/>
        <v>2.1087590023500002</v>
      </c>
      <c r="Q59" s="11">
        <f t="shared" si="11"/>
        <v>0</v>
      </c>
      <c r="R59" s="415"/>
      <c r="S59" s="415"/>
    </row>
    <row r="60" spans="1:19" s="180" customFormat="1" ht="13.5" thickBot="1">
      <c r="A60" s="1328"/>
      <c r="B60" s="416"/>
      <c r="C60" s="891">
        <v>45204557</v>
      </c>
      <c r="D60" s="575" t="s">
        <v>4005</v>
      </c>
      <c r="E60" s="174">
        <v>12589.5</v>
      </c>
      <c r="F60" s="8">
        <f t="shared" si="0"/>
        <v>6924.2250000000004</v>
      </c>
      <c r="G60" s="9">
        <f t="shared" si="1"/>
        <v>0</v>
      </c>
      <c r="H60" s="52">
        <f t="shared" si="2"/>
        <v>217.21293825000004</v>
      </c>
      <c r="I60" s="11">
        <f t="shared" si="3"/>
        <v>0</v>
      </c>
      <c r="J60" s="11">
        <f t="shared" si="4"/>
        <v>189.72376500000001</v>
      </c>
      <c r="K60" s="11">
        <f t="shared" si="5"/>
        <v>0</v>
      </c>
      <c r="L60" s="11">
        <f t="shared" si="6"/>
        <v>157.87233000000001</v>
      </c>
      <c r="M60" s="11">
        <f t="shared" si="7"/>
        <v>0</v>
      </c>
      <c r="N60" s="11">
        <f t="shared" si="8"/>
        <v>141.25419000000002</v>
      </c>
      <c r="O60" s="11">
        <f t="shared" si="9"/>
        <v>0</v>
      </c>
      <c r="P60" s="11">
        <f t="shared" si="10"/>
        <v>4.0184393576250006</v>
      </c>
      <c r="Q60" s="11">
        <f t="shared" si="11"/>
        <v>0</v>
      </c>
      <c r="R60" s="415"/>
      <c r="S60" s="415"/>
    </row>
    <row r="61" spans="1:19" s="180" customFormat="1" ht="13.5" thickBot="1">
      <c r="A61" s="1328"/>
      <c r="B61" s="416"/>
      <c r="C61" s="891">
        <v>45204332</v>
      </c>
      <c r="D61" s="575" t="s">
        <v>4006</v>
      </c>
      <c r="E61" s="174">
        <v>14175</v>
      </c>
      <c r="F61" s="8">
        <f t="shared" si="0"/>
        <v>7796.2500000000009</v>
      </c>
      <c r="G61" s="9">
        <f t="shared" si="1"/>
        <v>0</v>
      </c>
      <c r="H61" s="52">
        <f t="shared" si="2"/>
        <v>244.56836250000003</v>
      </c>
      <c r="I61" s="11">
        <f t="shared" si="3"/>
        <v>0</v>
      </c>
      <c r="J61" s="11">
        <f t="shared" si="4"/>
        <v>213.61725000000004</v>
      </c>
      <c r="K61" s="11">
        <f t="shared" si="5"/>
        <v>0</v>
      </c>
      <c r="L61" s="11">
        <f t="shared" si="6"/>
        <v>177.75450000000004</v>
      </c>
      <c r="M61" s="11">
        <f t="shared" si="7"/>
        <v>0</v>
      </c>
      <c r="N61" s="11">
        <f t="shared" si="8"/>
        <v>159.04350000000002</v>
      </c>
      <c r="O61" s="11">
        <f t="shared" si="9"/>
        <v>0</v>
      </c>
      <c r="P61" s="11">
        <f t="shared" si="10"/>
        <v>4.5245147062500006</v>
      </c>
      <c r="Q61" s="11">
        <f t="shared" si="11"/>
        <v>0</v>
      </c>
      <c r="R61" s="415"/>
      <c r="S61" s="415"/>
    </row>
    <row r="62" spans="1:19" s="180" customFormat="1" ht="13.5" thickBot="1">
      <c r="A62" s="1328"/>
      <c r="B62" s="416"/>
      <c r="C62" s="891" t="s">
        <v>1121</v>
      </c>
      <c r="D62" s="575" t="s">
        <v>1122</v>
      </c>
      <c r="E62" s="174">
        <v>154.84</v>
      </c>
      <c r="F62" s="8">
        <f t="shared" si="0"/>
        <v>85.162000000000006</v>
      </c>
      <c r="G62" s="9">
        <f t="shared" si="1"/>
        <v>0</v>
      </c>
      <c r="H62" s="52">
        <f t="shared" si="2"/>
        <v>2.6715319400000004</v>
      </c>
      <c r="I62" s="11">
        <f t="shared" si="3"/>
        <v>0</v>
      </c>
      <c r="J62" s="11">
        <f t="shared" si="4"/>
        <v>2.3334388000000001</v>
      </c>
      <c r="K62" s="11">
        <f t="shared" si="5"/>
        <v>0</v>
      </c>
      <c r="L62" s="11">
        <f t="shared" si="6"/>
        <v>1.9416936000000002</v>
      </c>
      <c r="M62" s="11">
        <f t="shared" si="7"/>
        <v>0</v>
      </c>
      <c r="N62" s="11">
        <f t="shared" si="8"/>
        <v>1.7373048000000002</v>
      </c>
      <c r="O62" s="11">
        <f t="shared" si="9"/>
        <v>0</v>
      </c>
      <c r="P62" s="11">
        <f t="shared" si="10"/>
        <v>4.9423340890000007E-2</v>
      </c>
      <c r="Q62" s="11">
        <f t="shared" si="11"/>
        <v>0</v>
      </c>
      <c r="R62" s="415"/>
      <c r="S62" s="415"/>
    </row>
    <row r="63" spans="1:19" s="180" customFormat="1" ht="13.5" thickBot="1">
      <c r="A63" s="1328"/>
      <c r="B63" s="416"/>
      <c r="C63" s="891" t="s">
        <v>1111</v>
      </c>
      <c r="D63" s="575" t="s">
        <v>1112</v>
      </c>
      <c r="E63" s="174">
        <v>142.6</v>
      </c>
      <c r="F63" s="8">
        <f t="shared" si="0"/>
        <v>78.430000000000007</v>
      </c>
      <c r="G63" s="9">
        <f t="shared" si="1"/>
        <v>0</v>
      </c>
      <c r="H63" s="52">
        <f t="shared" si="2"/>
        <v>2.4603491000000002</v>
      </c>
      <c r="I63" s="11">
        <f t="shared" si="3"/>
        <v>0</v>
      </c>
      <c r="J63" s="11">
        <f t="shared" si="4"/>
        <v>2.1489820000000002</v>
      </c>
      <c r="K63" s="11">
        <f t="shared" si="5"/>
        <v>0</v>
      </c>
      <c r="L63" s="11">
        <f t="shared" si="6"/>
        <v>1.7882040000000001</v>
      </c>
      <c r="M63" s="11">
        <f t="shared" si="7"/>
        <v>0</v>
      </c>
      <c r="N63" s="11">
        <f t="shared" si="8"/>
        <v>1.5999720000000002</v>
      </c>
      <c r="O63" s="11">
        <f t="shared" si="9"/>
        <v>0</v>
      </c>
      <c r="P63" s="11">
        <f t="shared" si="10"/>
        <v>4.5516458350000004E-2</v>
      </c>
      <c r="Q63" s="11">
        <f t="shared" si="11"/>
        <v>0</v>
      </c>
      <c r="R63" s="415"/>
      <c r="S63" s="415"/>
    </row>
    <row r="64" spans="1:19" s="180" customFormat="1" ht="13.5" thickBot="1">
      <c r="A64" s="1328"/>
      <c r="B64" s="416"/>
      <c r="C64" s="891" t="s">
        <v>1101</v>
      </c>
      <c r="D64" s="575" t="s">
        <v>1102</v>
      </c>
      <c r="E64" s="174">
        <v>141.21</v>
      </c>
      <c r="F64" s="8">
        <f t="shared" si="0"/>
        <v>77.665500000000009</v>
      </c>
      <c r="G64" s="9">
        <f t="shared" si="1"/>
        <v>0</v>
      </c>
      <c r="H64" s="52">
        <f t="shared" si="2"/>
        <v>2.4363667350000004</v>
      </c>
      <c r="I64" s="11">
        <f t="shared" si="3"/>
        <v>0</v>
      </c>
      <c r="J64" s="11">
        <f t="shared" si="4"/>
        <v>2.1280347000000002</v>
      </c>
      <c r="K64" s="11">
        <f t="shared" si="5"/>
        <v>0</v>
      </c>
      <c r="L64" s="11">
        <f t="shared" si="6"/>
        <v>1.7707734000000002</v>
      </c>
      <c r="M64" s="11">
        <f t="shared" si="7"/>
        <v>0</v>
      </c>
      <c r="N64" s="11">
        <f t="shared" si="8"/>
        <v>1.5843762000000003</v>
      </c>
      <c r="O64" s="11">
        <f t="shared" si="9"/>
        <v>0</v>
      </c>
      <c r="P64" s="11">
        <f t="shared" si="10"/>
        <v>4.5072784597500005E-2</v>
      </c>
      <c r="Q64" s="11">
        <f t="shared" si="11"/>
        <v>0</v>
      </c>
      <c r="R64" s="415"/>
      <c r="S64" s="415"/>
    </row>
    <row r="65" spans="1:19" s="180" customFormat="1" ht="13.5" thickBot="1">
      <c r="A65" s="1328"/>
      <c r="B65" s="416"/>
      <c r="C65" s="532" t="s">
        <v>1103</v>
      </c>
      <c r="D65" s="960" t="s">
        <v>1104</v>
      </c>
      <c r="E65" s="172">
        <v>122.89</v>
      </c>
      <c r="F65" s="8">
        <f t="shared" si="0"/>
        <v>67.589500000000001</v>
      </c>
      <c r="G65" s="9">
        <f t="shared" si="1"/>
        <v>0</v>
      </c>
      <c r="H65" s="52">
        <f t="shared" si="2"/>
        <v>2.1202826150000003</v>
      </c>
      <c r="I65" s="11">
        <f t="shared" si="3"/>
        <v>0</v>
      </c>
      <c r="J65" s="11">
        <f t="shared" si="4"/>
        <v>1.8519523</v>
      </c>
      <c r="K65" s="11">
        <f t="shared" si="5"/>
        <v>0</v>
      </c>
      <c r="L65" s="11">
        <f t="shared" si="6"/>
        <v>1.5410406000000001</v>
      </c>
      <c r="M65" s="11">
        <f t="shared" si="7"/>
        <v>0</v>
      </c>
      <c r="N65" s="11">
        <f t="shared" si="8"/>
        <v>1.3788258000000002</v>
      </c>
      <c r="O65" s="11">
        <f t="shared" si="9"/>
        <v>0</v>
      </c>
      <c r="P65" s="11">
        <f t="shared" si="10"/>
        <v>3.9225228377500004E-2</v>
      </c>
      <c r="Q65" s="11">
        <f t="shared" si="11"/>
        <v>0</v>
      </c>
      <c r="R65" s="415"/>
      <c r="S65" s="415"/>
    </row>
    <row r="66" spans="1:19" s="180" customFormat="1" ht="13.5" thickBot="1">
      <c r="A66" s="1328"/>
      <c r="B66" s="416"/>
      <c r="C66" s="891" t="s">
        <v>1113</v>
      </c>
      <c r="D66" s="575" t="s">
        <v>1114</v>
      </c>
      <c r="E66" s="174">
        <v>124.08</v>
      </c>
      <c r="F66" s="8">
        <f t="shared" si="0"/>
        <v>68.244</v>
      </c>
      <c r="G66" s="9">
        <f t="shared" si="1"/>
        <v>0</v>
      </c>
      <c r="H66" s="52">
        <f t="shared" si="2"/>
        <v>2.1408142800000003</v>
      </c>
      <c r="I66" s="11">
        <f t="shared" si="3"/>
        <v>0</v>
      </c>
      <c r="J66" s="11">
        <f t="shared" si="4"/>
        <v>1.8698856000000001</v>
      </c>
      <c r="K66" s="11">
        <f t="shared" si="5"/>
        <v>0</v>
      </c>
      <c r="L66" s="11">
        <f t="shared" si="6"/>
        <v>1.5559632000000001</v>
      </c>
      <c r="M66" s="11">
        <f t="shared" si="7"/>
        <v>0</v>
      </c>
      <c r="N66" s="11">
        <f t="shared" si="8"/>
        <v>1.3921776000000001</v>
      </c>
      <c r="O66" s="11">
        <f t="shared" si="9"/>
        <v>0</v>
      </c>
      <c r="P66" s="11">
        <f t="shared" si="10"/>
        <v>3.9605064180000003E-2</v>
      </c>
      <c r="Q66" s="11">
        <f t="shared" si="11"/>
        <v>0</v>
      </c>
      <c r="R66" s="415"/>
      <c r="S66" s="415"/>
    </row>
    <row r="67" spans="1:19" s="180" customFormat="1" ht="13.5" thickBot="1">
      <c r="A67" s="1328"/>
      <c r="B67" s="416"/>
      <c r="C67" s="532" t="s">
        <v>1107</v>
      </c>
      <c r="D67" s="960" t="s">
        <v>1108</v>
      </c>
      <c r="E67" s="172">
        <v>111.45</v>
      </c>
      <c r="F67" s="8">
        <f t="shared" si="0"/>
        <v>61.297500000000007</v>
      </c>
      <c r="G67" s="9">
        <f t="shared" si="1"/>
        <v>0</v>
      </c>
      <c r="H67" s="52">
        <f t="shared" si="2"/>
        <v>1.9229025750000004</v>
      </c>
      <c r="I67" s="11">
        <f t="shared" si="3"/>
        <v>0</v>
      </c>
      <c r="J67" s="11">
        <f t="shared" si="4"/>
        <v>1.6795515000000003</v>
      </c>
      <c r="K67" s="11">
        <f t="shared" si="5"/>
        <v>0</v>
      </c>
      <c r="L67" s="11">
        <f t="shared" si="6"/>
        <v>1.3975830000000002</v>
      </c>
      <c r="M67" s="11">
        <f t="shared" si="7"/>
        <v>0</v>
      </c>
      <c r="N67" s="11">
        <f t="shared" si="8"/>
        <v>1.2504690000000003</v>
      </c>
      <c r="O67" s="11">
        <f t="shared" si="9"/>
        <v>0</v>
      </c>
      <c r="P67" s="11">
        <f t="shared" si="10"/>
        <v>3.5573697637500006E-2</v>
      </c>
      <c r="Q67" s="11">
        <f t="shared" si="11"/>
        <v>0</v>
      </c>
      <c r="R67" s="415"/>
      <c r="S67" s="415"/>
    </row>
    <row r="68" spans="1:19" s="180" customFormat="1" ht="13.5" thickBot="1">
      <c r="A68" s="1328"/>
      <c r="B68" s="416"/>
      <c r="C68" s="532" t="s">
        <v>1123</v>
      </c>
      <c r="D68" s="960" t="s">
        <v>1124</v>
      </c>
      <c r="E68" s="172">
        <v>134.54</v>
      </c>
      <c r="F68" s="8">
        <f t="shared" si="0"/>
        <v>73.997</v>
      </c>
      <c r="G68" s="9">
        <f t="shared" si="1"/>
        <v>0</v>
      </c>
      <c r="H68" s="52">
        <f t="shared" si="2"/>
        <v>2.32128589</v>
      </c>
      <c r="I68" s="11">
        <f t="shared" si="3"/>
        <v>0</v>
      </c>
      <c r="J68" s="11">
        <f t="shared" si="4"/>
        <v>2.0275178</v>
      </c>
      <c r="K68" s="11">
        <f t="shared" si="5"/>
        <v>0</v>
      </c>
      <c r="L68" s="11">
        <f t="shared" si="6"/>
        <v>1.6871316000000001</v>
      </c>
      <c r="M68" s="11">
        <f t="shared" si="7"/>
        <v>0</v>
      </c>
      <c r="N68" s="11">
        <f t="shared" si="8"/>
        <v>1.5095388000000001</v>
      </c>
      <c r="O68" s="11">
        <f t="shared" si="9"/>
        <v>0</v>
      </c>
      <c r="P68" s="11">
        <f t="shared" si="10"/>
        <v>4.2943788965E-2</v>
      </c>
      <c r="Q68" s="11">
        <f t="shared" si="11"/>
        <v>0</v>
      </c>
      <c r="R68" s="415"/>
      <c r="S68" s="415"/>
    </row>
    <row r="69" spans="1:19" s="180" customFormat="1" ht="13.5" thickBot="1">
      <c r="A69" s="1328"/>
      <c r="B69" s="416"/>
      <c r="C69" s="532" t="s">
        <v>1105</v>
      </c>
      <c r="D69" s="960" t="s">
        <v>1106</v>
      </c>
      <c r="E69" s="172">
        <v>113.74</v>
      </c>
      <c r="F69" s="8">
        <f t="shared" si="0"/>
        <v>62.557000000000002</v>
      </c>
      <c r="G69" s="10">
        <f t="shared" si="1"/>
        <v>0</v>
      </c>
      <c r="H69" s="11">
        <f t="shared" si="2"/>
        <v>1.9624130900000003</v>
      </c>
      <c r="I69" s="11">
        <f t="shared" si="3"/>
        <v>0</v>
      </c>
      <c r="J69" s="11">
        <f t="shared" si="4"/>
        <v>1.7140618000000001</v>
      </c>
      <c r="K69" s="11">
        <f t="shared" si="5"/>
        <v>0</v>
      </c>
      <c r="L69" s="11">
        <f t="shared" si="6"/>
        <v>1.4262996000000001</v>
      </c>
      <c r="M69" s="11">
        <f t="shared" si="7"/>
        <v>0</v>
      </c>
      <c r="N69" s="11">
        <f t="shared" si="8"/>
        <v>1.2761628</v>
      </c>
      <c r="O69" s="11">
        <f t="shared" si="9"/>
        <v>0</v>
      </c>
      <c r="P69" s="11">
        <f t="shared" si="10"/>
        <v>3.6304642165000005E-2</v>
      </c>
      <c r="Q69" s="11">
        <f t="shared" si="11"/>
        <v>0</v>
      </c>
      <c r="R69" s="415"/>
      <c r="S69" s="415"/>
    </row>
    <row r="70" spans="1:19" s="180" customFormat="1" ht="13.5" thickBot="1">
      <c r="A70" s="1328"/>
      <c r="B70" s="416"/>
      <c r="C70" s="532" t="s">
        <v>1125</v>
      </c>
      <c r="D70" s="960" t="s">
        <v>1126</v>
      </c>
      <c r="E70" s="172">
        <v>124.34</v>
      </c>
      <c r="F70" s="8">
        <f t="shared" si="0"/>
        <v>68.387</v>
      </c>
      <c r="G70" s="9">
        <f t="shared" si="1"/>
        <v>0</v>
      </c>
      <c r="H70" s="52">
        <f t="shared" si="2"/>
        <v>2.1453001899999999</v>
      </c>
      <c r="I70" s="11">
        <f t="shared" si="3"/>
        <v>0</v>
      </c>
      <c r="J70" s="11">
        <f t="shared" si="4"/>
        <v>1.8738038000000001</v>
      </c>
      <c r="K70" s="11">
        <f t="shared" si="5"/>
        <v>0</v>
      </c>
      <c r="L70" s="11">
        <f t="shared" si="6"/>
        <v>1.5592236000000002</v>
      </c>
      <c r="M70" s="11">
        <f t="shared" si="7"/>
        <v>0</v>
      </c>
      <c r="N70" s="11">
        <f t="shared" si="8"/>
        <v>1.3950948000000001</v>
      </c>
      <c r="O70" s="11">
        <f t="shared" si="9"/>
        <v>0</v>
      </c>
      <c r="P70" s="11">
        <f t="shared" si="10"/>
        <v>3.9688053514999995E-2</v>
      </c>
      <c r="Q70" s="11">
        <f t="shared" si="11"/>
        <v>0</v>
      </c>
      <c r="R70" s="415"/>
      <c r="S70" s="415"/>
    </row>
    <row r="71" spans="1:19" s="180" customFormat="1" ht="13.5" thickBot="1">
      <c r="A71" s="1328"/>
      <c r="B71" s="416"/>
      <c r="C71" s="891" t="s">
        <v>1115</v>
      </c>
      <c r="D71" s="575" t="s">
        <v>1116</v>
      </c>
      <c r="E71" s="174">
        <v>118.33</v>
      </c>
      <c r="F71" s="8">
        <f t="shared" si="0"/>
        <v>65.081500000000005</v>
      </c>
      <c r="G71" s="9">
        <f t="shared" si="1"/>
        <v>0</v>
      </c>
      <c r="H71" s="52">
        <f t="shared" si="2"/>
        <v>2.0416066550000003</v>
      </c>
      <c r="I71" s="11">
        <f t="shared" si="3"/>
        <v>0</v>
      </c>
      <c r="J71" s="11">
        <f t="shared" si="4"/>
        <v>1.7832331000000001</v>
      </c>
      <c r="K71" s="11">
        <f t="shared" si="5"/>
        <v>0</v>
      </c>
      <c r="L71" s="11">
        <f t="shared" si="6"/>
        <v>1.4838582000000002</v>
      </c>
      <c r="M71" s="11">
        <f t="shared" si="7"/>
        <v>0</v>
      </c>
      <c r="N71" s="11">
        <f t="shared" si="8"/>
        <v>1.3276626000000002</v>
      </c>
      <c r="O71" s="11">
        <f t="shared" si="9"/>
        <v>0</v>
      </c>
      <c r="P71" s="11">
        <f t="shared" si="10"/>
        <v>3.7769723117500001E-2</v>
      </c>
      <c r="Q71" s="11">
        <f t="shared" si="11"/>
        <v>0</v>
      </c>
      <c r="R71" s="415"/>
      <c r="S71" s="415"/>
    </row>
    <row r="72" spans="1:19" s="180" customFormat="1" ht="13.5" thickBot="1">
      <c r="A72" s="1328"/>
      <c r="B72" s="416"/>
      <c r="C72" s="532" t="s">
        <v>1127</v>
      </c>
      <c r="D72" s="960" t="s">
        <v>1128</v>
      </c>
      <c r="E72" s="172">
        <v>122.49</v>
      </c>
      <c r="F72" s="8">
        <f t="shared" si="0"/>
        <v>67.369500000000002</v>
      </c>
      <c r="G72" s="9">
        <f t="shared" si="1"/>
        <v>0</v>
      </c>
      <c r="H72" s="52">
        <f t="shared" si="2"/>
        <v>2.1133812150000004</v>
      </c>
      <c r="I72" s="11">
        <f t="shared" si="3"/>
        <v>0</v>
      </c>
      <c r="J72" s="11">
        <f t="shared" si="4"/>
        <v>1.8459243000000001</v>
      </c>
      <c r="K72" s="11">
        <f t="shared" si="5"/>
        <v>0</v>
      </c>
      <c r="L72" s="11">
        <f t="shared" si="6"/>
        <v>1.5360246000000002</v>
      </c>
      <c r="M72" s="11">
        <f t="shared" si="7"/>
        <v>0</v>
      </c>
      <c r="N72" s="11">
        <f t="shared" si="8"/>
        <v>1.3743378000000002</v>
      </c>
      <c r="O72" s="11">
        <f t="shared" si="9"/>
        <v>0</v>
      </c>
      <c r="P72" s="11">
        <f t="shared" si="10"/>
        <v>3.9097552477500006E-2</v>
      </c>
      <c r="Q72" s="11">
        <f t="shared" si="11"/>
        <v>0</v>
      </c>
      <c r="R72" s="415"/>
      <c r="S72" s="415"/>
    </row>
    <row r="73" spans="1:19" s="180" customFormat="1" ht="13.5" thickBot="1">
      <c r="A73" s="1328"/>
      <c r="B73" s="416"/>
      <c r="C73" s="532" t="s">
        <v>1117</v>
      </c>
      <c r="D73" s="960" t="s">
        <v>1118</v>
      </c>
      <c r="E73" s="172">
        <v>115.93</v>
      </c>
      <c r="F73" s="8">
        <f t="shared" si="0"/>
        <v>63.761500000000012</v>
      </c>
      <c r="G73" s="9">
        <f t="shared" si="1"/>
        <v>0</v>
      </c>
      <c r="H73" s="52">
        <f t="shared" si="2"/>
        <v>2.0001982550000004</v>
      </c>
      <c r="I73" s="11">
        <f t="shared" si="3"/>
        <v>0</v>
      </c>
      <c r="J73" s="11">
        <f t="shared" si="4"/>
        <v>1.7470651000000004</v>
      </c>
      <c r="K73" s="11">
        <f t="shared" si="5"/>
        <v>0</v>
      </c>
      <c r="L73" s="11">
        <f t="shared" si="6"/>
        <v>1.4537622000000003</v>
      </c>
      <c r="M73" s="11">
        <f t="shared" si="7"/>
        <v>0</v>
      </c>
      <c r="N73" s="11">
        <f t="shared" si="8"/>
        <v>1.3007346000000004</v>
      </c>
      <c r="O73" s="11">
        <f t="shared" si="9"/>
        <v>0</v>
      </c>
      <c r="P73" s="11">
        <f t="shared" si="10"/>
        <v>3.7003667717500008E-2</v>
      </c>
      <c r="Q73" s="11">
        <f t="shared" si="11"/>
        <v>0</v>
      </c>
      <c r="R73" s="415"/>
      <c r="S73" s="415"/>
    </row>
    <row r="74" spans="1:19" s="180" customFormat="1" ht="13.5" thickBot="1">
      <c r="A74" s="1328"/>
      <c r="B74" s="416"/>
      <c r="C74" s="532" t="s">
        <v>1109</v>
      </c>
      <c r="D74" s="960" t="s">
        <v>1110</v>
      </c>
      <c r="E74" s="172">
        <v>105.33</v>
      </c>
      <c r="F74" s="8">
        <f t="shared" si="0"/>
        <v>57.931500000000007</v>
      </c>
      <c r="G74" s="9">
        <f t="shared" si="1"/>
        <v>0</v>
      </c>
      <c r="H74" s="52">
        <f t="shared" si="2"/>
        <v>1.8173111550000003</v>
      </c>
      <c r="I74" s="11">
        <f t="shared" si="3"/>
        <v>0</v>
      </c>
      <c r="J74" s="11">
        <f t="shared" si="4"/>
        <v>1.5873231000000003</v>
      </c>
      <c r="K74" s="11">
        <f t="shared" si="5"/>
        <v>0</v>
      </c>
      <c r="L74" s="11">
        <f t="shared" si="6"/>
        <v>1.3208382000000003</v>
      </c>
      <c r="M74" s="11">
        <f t="shared" si="7"/>
        <v>0</v>
      </c>
      <c r="N74" s="11">
        <f t="shared" si="8"/>
        <v>1.1818026000000001</v>
      </c>
      <c r="O74" s="11">
        <f t="shared" si="9"/>
        <v>0</v>
      </c>
      <c r="P74" s="11">
        <f t="shared" si="10"/>
        <v>3.3620256367500004E-2</v>
      </c>
      <c r="Q74" s="11">
        <f t="shared" si="11"/>
        <v>0</v>
      </c>
      <c r="R74" s="415"/>
      <c r="S74" s="415"/>
    </row>
    <row r="75" spans="1:19" s="180" customFormat="1" ht="13.5" thickBot="1">
      <c r="A75" s="1328"/>
      <c r="B75" s="416"/>
      <c r="C75" s="532" t="s">
        <v>1129</v>
      </c>
      <c r="D75" s="960" t="s">
        <v>1130</v>
      </c>
      <c r="E75" s="172">
        <v>115.12</v>
      </c>
      <c r="F75" s="8">
        <f t="shared" si="0"/>
        <v>63.31600000000001</v>
      </c>
      <c r="G75" s="9">
        <f t="shared" si="1"/>
        <v>0</v>
      </c>
      <c r="H75" s="52">
        <f t="shared" si="2"/>
        <v>1.9862229200000003</v>
      </c>
      <c r="I75" s="11">
        <f t="shared" si="3"/>
        <v>0</v>
      </c>
      <c r="J75" s="11">
        <f t="shared" si="4"/>
        <v>1.7348584000000002</v>
      </c>
      <c r="K75" s="11">
        <f t="shared" si="5"/>
        <v>0</v>
      </c>
      <c r="L75" s="11">
        <f t="shared" si="6"/>
        <v>1.4436048000000004</v>
      </c>
      <c r="M75" s="11">
        <f t="shared" si="7"/>
        <v>0</v>
      </c>
      <c r="N75" s="11">
        <f t="shared" si="8"/>
        <v>1.2916464000000003</v>
      </c>
      <c r="O75" s="11">
        <f t="shared" si="9"/>
        <v>0</v>
      </c>
      <c r="P75" s="11">
        <f t="shared" si="10"/>
        <v>3.6745124020000006E-2</v>
      </c>
      <c r="Q75" s="11">
        <f t="shared" si="11"/>
        <v>0</v>
      </c>
      <c r="R75" s="415"/>
      <c r="S75" s="415"/>
    </row>
    <row r="76" spans="1:19" s="180" customFormat="1" ht="13.5" thickBot="1">
      <c r="A76" s="1328"/>
      <c r="B76" s="416"/>
      <c r="C76" s="532" t="s">
        <v>1119</v>
      </c>
      <c r="D76" s="960" t="s">
        <v>1120</v>
      </c>
      <c r="E76" s="172">
        <v>103.1</v>
      </c>
      <c r="F76" s="8">
        <f t="shared" si="0"/>
        <v>56.704999999999998</v>
      </c>
      <c r="G76" s="10">
        <f t="shared" si="1"/>
        <v>0</v>
      </c>
      <c r="H76" s="11">
        <f t="shared" si="2"/>
        <v>1.7788358500000001</v>
      </c>
      <c r="I76" s="11">
        <f t="shared" si="3"/>
        <v>0</v>
      </c>
      <c r="J76" s="11">
        <f t="shared" si="4"/>
        <v>1.553717</v>
      </c>
      <c r="K76" s="11">
        <f t="shared" si="5"/>
        <v>0</v>
      </c>
      <c r="L76" s="11">
        <f t="shared" si="6"/>
        <v>1.2928740000000001</v>
      </c>
      <c r="M76" s="11">
        <f t="shared" si="7"/>
        <v>0</v>
      </c>
      <c r="N76" s="11">
        <f t="shared" si="8"/>
        <v>1.156782</v>
      </c>
      <c r="O76" s="11">
        <f t="shared" si="9"/>
        <v>0</v>
      </c>
      <c r="P76" s="11">
        <f t="shared" si="10"/>
        <v>3.2908463225000004E-2</v>
      </c>
      <c r="Q76" s="11">
        <f t="shared" si="11"/>
        <v>0</v>
      </c>
      <c r="R76" s="415"/>
      <c r="S76" s="415"/>
    </row>
    <row r="77" spans="1:19" s="180" customFormat="1" ht="13.5" thickBot="1">
      <c r="A77" s="1328"/>
      <c r="B77" s="416"/>
      <c r="C77" s="532" t="s">
        <v>1155</v>
      </c>
      <c r="D77" s="960" t="s">
        <v>1156</v>
      </c>
      <c r="E77" s="172">
        <v>99.44</v>
      </c>
      <c r="F77" s="8">
        <f t="shared" si="0"/>
        <v>54.692</v>
      </c>
      <c r="G77" s="9">
        <f t="shared" si="1"/>
        <v>0</v>
      </c>
      <c r="H77" s="52">
        <f t="shared" si="2"/>
        <v>1.7156880400000001</v>
      </c>
      <c r="I77" s="11">
        <f t="shared" si="3"/>
        <v>0</v>
      </c>
      <c r="J77" s="11">
        <f t="shared" si="4"/>
        <v>1.4985608000000001</v>
      </c>
      <c r="K77" s="11">
        <f t="shared" si="5"/>
        <v>0</v>
      </c>
      <c r="L77" s="11">
        <f t="shared" si="6"/>
        <v>1.2469776000000001</v>
      </c>
      <c r="M77" s="11">
        <f t="shared" si="7"/>
        <v>0</v>
      </c>
      <c r="N77" s="11">
        <f t="shared" si="8"/>
        <v>1.1157168000000002</v>
      </c>
      <c r="O77" s="11">
        <f t="shared" si="9"/>
        <v>0</v>
      </c>
      <c r="P77" s="11">
        <f t="shared" si="10"/>
        <v>3.1740228740000001E-2</v>
      </c>
      <c r="Q77" s="11">
        <f t="shared" si="11"/>
        <v>0</v>
      </c>
      <c r="R77" s="415"/>
      <c r="S77" s="415"/>
    </row>
    <row r="78" spans="1:19" s="175" customFormat="1" ht="13.5" thickBot="1">
      <c r="A78" s="1328"/>
      <c r="B78" s="873"/>
      <c r="C78" s="796" t="s">
        <v>1157</v>
      </c>
      <c r="D78" s="961" t="s">
        <v>1158</v>
      </c>
      <c r="E78" s="177">
        <v>99.44</v>
      </c>
      <c r="F78" s="52">
        <f t="shared" si="0"/>
        <v>54.692</v>
      </c>
      <c r="G78" s="53">
        <f t="shared" si="1"/>
        <v>0</v>
      </c>
      <c r="H78" s="52">
        <f t="shared" si="2"/>
        <v>1.7156880400000001</v>
      </c>
      <c r="I78" s="11">
        <f t="shared" si="3"/>
        <v>0</v>
      </c>
      <c r="J78" s="11">
        <f>F78*0.02564</f>
        <v>1.4023028799999999</v>
      </c>
      <c r="K78" s="11">
        <f t="shared" si="5"/>
        <v>0</v>
      </c>
      <c r="L78" s="11">
        <f>F78*0.0256</f>
        <v>1.4001152000000001</v>
      </c>
      <c r="M78" s="11">
        <f t="shared" si="7"/>
        <v>0</v>
      </c>
      <c r="N78" s="11">
        <f t="shared" si="8"/>
        <v>1.1157168000000002</v>
      </c>
      <c r="O78" s="11">
        <f t="shared" si="9"/>
        <v>0</v>
      </c>
      <c r="P78" s="11">
        <f t="shared" si="10"/>
        <v>3.1740228740000001E-2</v>
      </c>
      <c r="Q78" s="11">
        <f t="shared" si="11"/>
        <v>0</v>
      </c>
      <c r="R78" s="892"/>
      <c r="S78" s="892"/>
    </row>
    <row r="79" spans="1:19" s="175" customFormat="1" ht="13.5" thickBot="1">
      <c r="A79" s="1328"/>
      <c r="B79" s="873"/>
      <c r="C79" s="532" t="s">
        <v>1159</v>
      </c>
      <c r="D79" s="960" t="s">
        <v>1160</v>
      </c>
      <c r="E79" s="172">
        <v>99.44</v>
      </c>
      <c r="F79" s="52">
        <f t="shared" si="0"/>
        <v>54.692</v>
      </c>
      <c r="G79" s="53">
        <f t="shared" si="1"/>
        <v>0</v>
      </c>
      <c r="H79" s="52">
        <f t="shared" si="2"/>
        <v>1.7156880400000001</v>
      </c>
      <c r="I79" s="11">
        <f t="shared" si="3"/>
        <v>0</v>
      </c>
      <c r="J79" s="11">
        <f>F79*0.02564</f>
        <v>1.4023028799999999</v>
      </c>
      <c r="K79" s="11">
        <f t="shared" si="5"/>
        <v>0</v>
      </c>
      <c r="L79" s="11">
        <f t="shared" ref="L79:L135" si="12">F79*0.0228</f>
        <v>1.2469776000000001</v>
      </c>
      <c r="M79" s="11">
        <f t="shared" si="7"/>
        <v>0</v>
      </c>
      <c r="N79" s="11">
        <f t="shared" si="8"/>
        <v>1.1157168000000002</v>
      </c>
      <c r="O79" s="11">
        <f t="shared" si="9"/>
        <v>0</v>
      </c>
      <c r="P79" s="11">
        <f t="shared" si="10"/>
        <v>3.1740228740000001E-2</v>
      </c>
      <c r="Q79" s="11">
        <f t="shared" si="11"/>
        <v>0</v>
      </c>
      <c r="R79" s="892"/>
      <c r="S79" s="892"/>
    </row>
    <row r="80" spans="1:19" s="175" customFormat="1" ht="13.5" thickBot="1">
      <c r="A80" s="1328"/>
      <c r="B80" s="873"/>
      <c r="C80" s="532" t="s">
        <v>1366</v>
      </c>
      <c r="D80" s="960" t="s">
        <v>1367</v>
      </c>
      <c r="E80" s="172">
        <v>1739.34</v>
      </c>
      <c r="F80" s="52">
        <f t="shared" si="0"/>
        <v>956.63700000000006</v>
      </c>
      <c r="G80" s="53">
        <f t="shared" si="1"/>
        <v>0</v>
      </c>
      <c r="H80" s="52">
        <f t="shared" si="2"/>
        <v>30.009702690000005</v>
      </c>
      <c r="I80" s="11">
        <f t="shared" si="3"/>
        <v>0</v>
      </c>
      <c r="J80" s="11">
        <f t="shared" ref="J80:J136" si="13">F80*0.0274</f>
        <v>26.211853800000004</v>
      </c>
      <c r="K80" s="11">
        <f t="shared" si="5"/>
        <v>0</v>
      </c>
      <c r="L80" s="11">
        <f t="shared" si="12"/>
        <v>21.811323600000001</v>
      </c>
      <c r="M80" s="11">
        <f t="shared" si="7"/>
        <v>0</v>
      </c>
      <c r="N80" s="11">
        <f t="shared" si="8"/>
        <v>19.515394800000003</v>
      </c>
      <c r="O80" s="11">
        <f t="shared" si="9"/>
        <v>0</v>
      </c>
      <c r="P80" s="11">
        <f t="shared" si="10"/>
        <v>0.55517949976500003</v>
      </c>
      <c r="Q80" s="11">
        <f t="shared" si="11"/>
        <v>0</v>
      </c>
      <c r="R80" s="892"/>
      <c r="S80" s="892"/>
    </row>
    <row r="81" spans="1:19" s="180" customFormat="1" ht="13.5" thickBot="1">
      <c r="A81" s="1328"/>
      <c r="B81" s="416"/>
      <c r="C81" s="891" t="s">
        <v>1201</v>
      </c>
      <c r="D81" s="575" t="s">
        <v>1202</v>
      </c>
      <c r="E81" s="174">
        <v>25001.78</v>
      </c>
      <c r="F81" s="8">
        <f t="shared" si="0"/>
        <v>13750.979000000001</v>
      </c>
      <c r="G81" s="9">
        <f t="shared" si="1"/>
        <v>0</v>
      </c>
      <c r="H81" s="52">
        <f t="shared" si="2"/>
        <v>431.36821123000004</v>
      </c>
      <c r="I81" s="11">
        <f t="shared" si="3"/>
        <v>0</v>
      </c>
      <c r="J81" s="11">
        <f t="shared" si="13"/>
        <v>376.77682460000005</v>
      </c>
      <c r="K81" s="11">
        <f t="shared" si="5"/>
        <v>0</v>
      </c>
      <c r="L81" s="11">
        <f t="shared" si="12"/>
        <v>313.52232120000002</v>
      </c>
      <c r="M81" s="11">
        <f t="shared" si="7"/>
        <v>0</v>
      </c>
      <c r="N81" s="11">
        <f t="shared" si="8"/>
        <v>280.51997160000002</v>
      </c>
      <c r="O81" s="11">
        <f t="shared" si="9"/>
        <v>0</v>
      </c>
      <c r="P81" s="11">
        <f t="shared" si="10"/>
        <v>7.9803119077550004</v>
      </c>
      <c r="Q81" s="11">
        <f t="shared" si="11"/>
        <v>0</v>
      </c>
      <c r="R81" s="415"/>
      <c r="S81" s="415"/>
    </row>
    <row r="82" spans="1:19" s="180" customFormat="1" ht="13.5" thickBot="1">
      <c r="A82" s="1328"/>
      <c r="B82" s="416"/>
      <c r="C82" s="891" t="s">
        <v>1203</v>
      </c>
      <c r="D82" s="575" t="s">
        <v>1204</v>
      </c>
      <c r="E82" s="174">
        <v>15459.44</v>
      </c>
      <c r="F82" s="8">
        <f t="shared" si="0"/>
        <v>8502.6920000000009</v>
      </c>
      <c r="G82" s="9">
        <f t="shared" si="1"/>
        <v>0</v>
      </c>
      <c r="H82" s="52">
        <f t="shared" si="2"/>
        <v>266.72944804000002</v>
      </c>
      <c r="I82" s="11">
        <f t="shared" si="3"/>
        <v>0</v>
      </c>
      <c r="J82" s="11">
        <f t="shared" si="13"/>
        <v>232.97376080000004</v>
      </c>
      <c r="K82" s="11">
        <f t="shared" si="5"/>
        <v>0</v>
      </c>
      <c r="L82" s="11">
        <f t="shared" si="12"/>
        <v>193.86137760000003</v>
      </c>
      <c r="M82" s="11">
        <f t="shared" si="7"/>
        <v>0</v>
      </c>
      <c r="N82" s="11">
        <f t="shared" si="8"/>
        <v>173.45491680000003</v>
      </c>
      <c r="O82" s="11">
        <f t="shared" si="9"/>
        <v>0</v>
      </c>
      <c r="P82" s="11">
        <f t="shared" si="10"/>
        <v>4.9344947887400004</v>
      </c>
      <c r="Q82" s="11">
        <f t="shared" si="11"/>
        <v>0</v>
      </c>
      <c r="R82" s="415"/>
      <c r="S82" s="415"/>
    </row>
    <row r="83" spans="1:19" s="180" customFormat="1" ht="13.5" thickBot="1">
      <c r="A83" s="1328"/>
      <c r="B83" s="416"/>
      <c r="C83" s="891" t="s">
        <v>1403</v>
      </c>
      <c r="D83" s="575" t="s">
        <v>4028</v>
      </c>
      <c r="E83" s="174">
        <v>1042.54</v>
      </c>
      <c r="F83" s="8">
        <f t="shared" si="0"/>
        <v>573.39700000000005</v>
      </c>
      <c r="G83" s="10">
        <f t="shared" si="1"/>
        <v>0</v>
      </c>
      <c r="H83" s="11">
        <f t="shared" si="2"/>
        <v>17.987463890000004</v>
      </c>
      <c r="I83" s="11">
        <f t="shared" si="3"/>
        <v>0</v>
      </c>
      <c r="J83" s="11">
        <f t="shared" si="13"/>
        <v>15.711077800000002</v>
      </c>
      <c r="K83" s="11">
        <f t="shared" si="5"/>
        <v>0</v>
      </c>
      <c r="L83" s="11">
        <f t="shared" si="12"/>
        <v>13.073451600000002</v>
      </c>
      <c r="M83" s="11">
        <f t="shared" si="7"/>
        <v>0</v>
      </c>
      <c r="N83" s="11">
        <f t="shared" si="8"/>
        <v>11.697298800000002</v>
      </c>
      <c r="O83" s="11">
        <f t="shared" si="9"/>
        <v>0</v>
      </c>
      <c r="P83" s="11">
        <f t="shared" si="10"/>
        <v>0.33276808196500007</v>
      </c>
      <c r="Q83" s="11">
        <f t="shared" si="11"/>
        <v>0</v>
      </c>
      <c r="R83" s="415"/>
      <c r="S83" s="415"/>
    </row>
    <row r="84" spans="1:19" s="180" customFormat="1" ht="13.5" thickBot="1">
      <c r="A84" s="1328"/>
      <c r="B84" s="416"/>
      <c r="C84" s="891">
        <v>45112781</v>
      </c>
      <c r="D84" s="575" t="s">
        <v>4029</v>
      </c>
      <c r="E84" s="174">
        <v>7870.72</v>
      </c>
      <c r="F84" s="8">
        <f t="shared" si="0"/>
        <v>4328.8960000000006</v>
      </c>
      <c r="G84" s="10">
        <f t="shared" si="1"/>
        <v>0</v>
      </c>
      <c r="H84" s="11">
        <f t="shared" si="2"/>
        <v>135.79746752000003</v>
      </c>
      <c r="I84" s="11">
        <f t="shared" si="3"/>
        <v>0</v>
      </c>
      <c r="J84" s="11">
        <f t="shared" si="13"/>
        <v>118.61175040000002</v>
      </c>
      <c r="K84" s="11">
        <f t="shared" si="5"/>
        <v>0</v>
      </c>
      <c r="L84" s="11">
        <f t="shared" si="12"/>
        <v>98.698828800000015</v>
      </c>
      <c r="M84" s="11">
        <f t="shared" si="7"/>
        <v>0</v>
      </c>
      <c r="N84" s="11">
        <f t="shared" si="8"/>
        <v>88.309478400000017</v>
      </c>
      <c r="O84" s="11">
        <f t="shared" si="9"/>
        <v>0</v>
      </c>
      <c r="P84" s="11">
        <f t="shared" si="10"/>
        <v>2.5122531491200002</v>
      </c>
      <c r="Q84" s="11">
        <f t="shared" si="11"/>
        <v>0</v>
      </c>
      <c r="R84" s="415"/>
      <c r="S84" s="415"/>
    </row>
    <row r="85" spans="1:19" s="180" customFormat="1" ht="13.5" thickBot="1">
      <c r="A85" s="1328"/>
      <c r="B85" s="416"/>
      <c r="C85" s="532" t="s">
        <v>1134</v>
      </c>
      <c r="D85" s="960" t="s">
        <v>1135</v>
      </c>
      <c r="E85" s="172">
        <v>6878.07</v>
      </c>
      <c r="F85" s="8">
        <f t="shared" si="0"/>
        <v>3782.9385000000002</v>
      </c>
      <c r="G85" s="10">
        <f t="shared" si="1"/>
        <v>0</v>
      </c>
      <c r="H85" s="11">
        <f t="shared" si="2"/>
        <v>118.67078074500002</v>
      </c>
      <c r="I85" s="11">
        <f t="shared" si="3"/>
        <v>0</v>
      </c>
      <c r="J85" s="11">
        <f t="shared" si="13"/>
        <v>103.65251490000001</v>
      </c>
      <c r="K85" s="11">
        <f t="shared" si="5"/>
        <v>0</v>
      </c>
      <c r="L85" s="11">
        <f t="shared" si="12"/>
        <v>86.250997800000007</v>
      </c>
      <c r="M85" s="11">
        <f t="shared" si="7"/>
        <v>0</v>
      </c>
      <c r="N85" s="11">
        <f t="shared" si="8"/>
        <v>77.171945400000013</v>
      </c>
      <c r="O85" s="11">
        <f t="shared" si="9"/>
        <v>0</v>
      </c>
      <c r="P85" s="11">
        <f t="shared" si="10"/>
        <v>2.1954094437825002</v>
      </c>
      <c r="Q85" s="11">
        <f t="shared" si="11"/>
        <v>0</v>
      </c>
      <c r="R85" s="415"/>
      <c r="S85" s="415"/>
    </row>
    <row r="86" spans="1:19" s="180" customFormat="1" ht="13.5" thickBot="1">
      <c r="A86" s="1328"/>
      <c r="B86" s="416"/>
      <c r="C86" s="532" t="s">
        <v>1205</v>
      </c>
      <c r="D86" s="960" t="s">
        <v>1206</v>
      </c>
      <c r="E86" s="172">
        <v>7804.2</v>
      </c>
      <c r="F86" s="8">
        <f t="shared" si="0"/>
        <v>4292.3100000000004</v>
      </c>
      <c r="G86" s="10">
        <f t="shared" si="1"/>
        <v>0</v>
      </c>
      <c r="H86" s="11">
        <f t="shared" si="2"/>
        <v>134.64976470000002</v>
      </c>
      <c r="I86" s="11">
        <f t="shared" si="3"/>
        <v>0</v>
      </c>
      <c r="J86" s="11">
        <f t="shared" si="13"/>
        <v>117.60929400000002</v>
      </c>
      <c r="K86" s="11">
        <f t="shared" si="5"/>
        <v>0</v>
      </c>
      <c r="L86" s="11">
        <f t="shared" si="12"/>
        <v>97.864668000000009</v>
      </c>
      <c r="M86" s="11">
        <f t="shared" si="7"/>
        <v>0</v>
      </c>
      <c r="N86" s="11">
        <f t="shared" si="8"/>
        <v>87.563124000000016</v>
      </c>
      <c r="O86" s="11">
        <f t="shared" si="9"/>
        <v>0</v>
      </c>
      <c r="P86" s="11">
        <f t="shared" si="10"/>
        <v>2.49102064695</v>
      </c>
      <c r="Q86" s="11">
        <f t="shared" si="11"/>
        <v>0</v>
      </c>
      <c r="R86" s="415"/>
      <c r="S86" s="415"/>
    </row>
    <row r="87" spans="1:19" s="180" customFormat="1" ht="13.5" thickBot="1">
      <c r="A87" s="1328"/>
      <c r="B87" s="416"/>
      <c r="C87" s="532" t="s">
        <v>1405</v>
      </c>
      <c r="D87" s="960" t="s">
        <v>4030</v>
      </c>
      <c r="E87" s="172">
        <v>7449.96</v>
      </c>
      <c r="F87" s="8">
        <f t="shared" si="0"/>
        <v>4097.4780000000001</v>
      </c>
      <c r="G87" s="10">
        <f t="shared" si="1"/>
        <v>0</v>
      </c>
      <c r="H87" s="11">
        <f t="shared" si="2"/>
        <v>128.53788486000002</v>
      </c>
      <c r="I87" s="11">
        <f t="shared" si="3"/>
        <v>0</v>
      </c>
      <c r="J87" s="11">
        <f t="shared" si="13"/>
        <v>112.27089720000001</v>
      </c>
      <c r="K87" s="11">
        <f t="shared" si="5"/>
        <v>0</v>
      </c>
      <c r="L87" s="11">
        <f t="shared" si="12"/>
        <v>93.422498400000009</v>
      </c>
      <c r="M87" s="11">
        <f t="shared" si="7"/>
        <v>0</v>
      </c>
      <c r="N87" s="11">
        <f t="shared" si="8"/>
        <v>83.588551200000012</v>
      </c>
      <c r="O87" s="11">
        <f t="shared" si="9"/>
        <v>0</v>
      </c>
      <c r="P87" s="11">
        <f t="shared" si="10"/>
        <v>2.3779508699100003</v>
      </c>
      <c r="Q87" s="11">
        <f t="shared" si="11"/>
        <v>0</v>
      </c>
      <c r="R87" s="415"/>
      <c r="S87" s="415"/>
    </row>
    <row r="88" spans="1:19" s="180" customFormat="1" ht="13.5" thickBot="1">
      <c r="A88" s="1328"/>
      <c r="B88" s="416"/>
      <c r="C88" s="891" t="s">
        <v>1167</v>
      </c>
      <c r="D88" s="575" t="s">
        <v>1168</v>
      </c>
      <c r="E88" s="174">
        <v>24604.13</v>
      </c>
      <c r="F88" s="8">
        <f t="shared" si="0"/>
        <v>13532.271500000003</v>
      </c>
      <c r="G88" s="10">
        <f t="shared" si="1"/>
        <v>0</v>
      </c>
      <c r="H88" s="11">
        <f t="shared" si="2"/>
        <v>424.50735695500009</v>
      </c>
      <c r="I88" s="11">
        <f t="shared" si="3"/>
        <v>0</v>
      </c>
      <c r="J88" s="11">
        <f t="shared" si="13"/>
        <v>370.78423910000009</v>
      </c>
      <c r="K88" s="11">
        <f t="shared" si="5"/>
        <v>0</v>
      </c>
      <c r="L88" s="11">
        <f t="shared" si="12"/>
        <v>308.53579020000006</v>
      </c>
      <c r="M88" s="11">
        <f t="shared" si="7"/>
        <v>0</v>
      </c>
      <c r="N88" s="11">
        <f t="shared" si="8"/>
        <v>276.05833860000007</v>
      </c>
      <c r="O88" s="11">
        <f t="shared" si="9"/>
        <v>0</v>
      </c>
      <c r="P88" s="11">
        <f t="shared" si="10"/>
        <v>7.8533861036675017</v>
      </c>
      <c r="Q88" s="11">
        <f t="shared" si="11"/>
        <v>0</v>
      </c>
      <c r="R88" s="415"/>
      <c r="S88" s="415"/>
    </row>
    <row r="89" spans="1:19" s="180" customFormat="1" ht="13.5" thickBot="1">
      <c r="A89" s="1328"/>
      <c r="B89" s="416"/>
      <c r="C89" s="891">
        <v>7723000</v>
      </c>
      <c r="D89" s="575" t="s">
        <v>1131</v>
      </c>
      <c r="E89" s="174">
        <v>50817.919999999998</v>
      </c>
      <c r="F89" s="8">
        <f t="shared" si="0"/>
        <v>27949.856</v>
      </c>
      <c r="G89" s="10">
        <f t="shared" si="1"/>
        <v>0</v>
      </c>
      <c r="H89" s="11">
        <f t="shared" si="2"/>
        <v>876.78698272000008</v>
      </c>
      <c r="I89" s="11">
        <f t="shared" si="3"/>
        <v>0</v>
      </c>
      <c r="J89" s="11">
        <f t="shared" si="13"/>
        <v>765.82605439999998</v>
      </c>
      <c r="K89" s="11">
        <f t="shared" si="5"/>
        <v>0</v>
      </c>
      <c r="L89" s="11">
        <f t="shared" si="12"/>
        <v>637.25671680000005</v>
      </c>
      <c r="M89" s="11">
        <f t="shared" si="7"/>
        <v>0</v>
      </c>
      <c r="N89" s="11">
        <f t="shared" si="8"/>
        <v>570.17706240000007</v>
      </c>
      <c r="O89" s="11">
        <f t="shared" si="9"/>
        <v>0</v>
      </c>
      <c r="P89" s="11">
        <f t="shared" si="10"/>
        <v>16.220559180320002</v>
      </c>
      <c r="Q89" s="11">
        <f t="shared" si="11"/>
        <v>0</v>
      </c>
      <c r="R89" s="415"/>
      <c r="S89" s="415"/>
    </row>
    <row r="90" spans="1:19" s="180" customFormat="1" ht="13.5" thickBot="1">
      <c r="A90" s="1328"/>
      <c r="B90" s="416"/>
      <c r="C90" s="891" t="s">
        <v>1148</v>
      </c>
      <c r="D90" s="575" t="s">
        <v>1149</v>
      </c>
      <c r="E90" s="174">
        <v>14005.99</v>
      </c>
      <c r="F90" s="8">
        <f t="shared" si="0"/>
        <v>7703.2945000000009</v>
      </c>
      <c r="G90" s="10">
        <f t="shared" si="1"/>
        <v>0</v>
      </c>
      <c r="H90" s="11">
        <f t="shared" si="2"/>
        <v>241.65234846500005</v>
      </c>
      <c r="I90" s="11">
        <f t="shared" si="3"/>
        <v>0</v>
      </c>
      <c r="J90" s="11">
        <f t="shared" si="13"/>
        <v>211.07026930000004</v>
      </c>
      <c r="K90" s="11">
        <f t="shared" si="5"/>
        <v>0</v>
      </c>
      <c r="L90" s="11">
        <f t="shared" si="12"/>
        <v>175.63511460000004</v>
      </c>
      <c r="M90" s="11">
        <f t="shared" si="7"/>
        <v>0</v>
      </c>
      <c r="N90" s="11">
        <f t="shared" si="8"/>
        <v>157.14720780000002</v>
      </c>
      <c r="O90" s="11">
        <f t="shared" si="9"/>
        <v>0</v>
      </c>
      <c r="P90" s="11">
        <f t="shared" si="10"/>
        <v>4.4705684466025009</v>
      </c>
      <c r="Q90" s="11">
        <f t="shared" si="11"/>
        <v>0</v>
      </c>
      <c r="R90" s="415"/>
      <c r="S90" s="415"/>
    </row>
    <row r="91" spans="1:19" s="180" customFormat="1" ht="13.5" thickBot="1">
      <c r="A91" s="1328"/>
      <c r="B91" s="416"/>
      <c r="C91" s="532" t="s">
        <v>1209</v>
      </c>
      <c r="D91" s="960" t="s">
        <v>1210</v>
      </c>
      <c r="E91" s="172">
        <v>3082.28</v>
      </c>
      <c r="F91" s="8">
        <f t="shared" si="0"/>
        <v>1695.2540000000004</v>
      </c>
      <c r="G91" s="10">
        <f t="shared" si="1"/>
        <v>0</v>
      </c>
      <c r="H91" s="11">
        <f t="shared" si="2"/>
        <v>53.180117980000013</v>
      </c>
      <c r="I91" s="11">
        <f t="shared" si="3"/>
        <v>0</v>
      </c>
      <c r="J91" s="11">
        <f t="shared" si="13"/>
        <v>46.449959600000014</v>
      </c>
      <c r="K91" s="11">
        <f t="shared" si="5"/>
        <v>0</v>
      </c>
      <c r="L91" s="11">
        <f t="shared" si="12"/>
        <v>38.651791200000012</v>
      </c>
      <c r="M91" s="11">
        <f t="shared" si="7"/>
        <v>0</v>
      </c>
      <c r="N91" s="11">
        <f t="shared" si="8"/>
        <v>34.58318160000001</v>
      </c>
      <c r="O91" s="11">
        <f t="shared" si="9"/>
        <v>0</v>
      </c>
      <c r="P91" s="11">
        <f t="shared" si="10"/>
        <v>0.98383218263000016</v>
      </c>
      <c r="Q91" s="11">
        <f t="shared" si="11"/>
        <v>0</v>
      </c>
      <c r="R91" s="415"/>
      <c r="S91" s="415"/>
    </row>
    <row r="92" spans="1:19" s="180" customFormat="1" ht="13.5" thickBot="1">
      <c r="A92" s="1328"/>
      <c r="B92" s="416"/>
      <c r="C92" s="891" t="s">
        <v>1305</v>
      </c>
      <c r="D92" s="575" t="s">
        <v>1306</v>
      </c>
      <c r="E92" s="174">
        <v>330.33</v>
      </c>
      <c r="F92" s="8">
        <f t="shared" ref="F92:F160" si="14">E92*(1-45%)</f>
        <v>181.6815</v>
      </c>
      <c r="G92" s="10">
        <f t="shared" ref="G92:G160" si="15">F92*B92</f>
        <v>0</v>
      </c>
      <c r="H92" s="11">
        <f t="shared" ref="H92:H157" si="16">F92*0.03137</f>
        <v>5.6993486550000005</v>
      </c>
      <c r="I92" s="11">
        <f t="shared" ref="I92:I160" si="17">H92*B92</f>
        <v>0</v>
      </c>
      <c r="J92" s="11">
        <f t="shared" si="13"/>
        <v>4.9780731000000005</v>
      </c>
      <c r="K92" s="11">
        <f t="shared" ref="K92:K160" si="18">J92*B92</f>
        <v>0</v>
      </c>
      <c r="L92" s="11">
        <f t="shared" si="12"/>
        <v>4.1423382000000002</v>
      </c>
      <c r="M92" s="11">
        <f t="shared" ref="M92:M160" si="19">L92*B92</f>
        <v>0</v>
      </c>
      <c r="N92" s="11">
        <f t="shared" ref="N92:N157" si="20">F92*0.0204</f>
        <v>3.7063026000000003</v>
      </c>
      <c r="O92" s="11">
        <f t="shared" ref="O92:O160" si="21">N92*B92</f>
        <v>0</v>
      </c>
      <c r="P92" s="11">
        <f t="shared" si="10"/>
        <v>0.1054379501175</v>
      </c>
      <c r="Q92" s="11">
        <f t="shared" si="11"/>
        <v>0</v>
      </c>
      <c r="R92" s="415"/>
      <c r="S92" s="415"/>
    </row>
    <row r="93" spans="1:19" s="180" customFormat="1" ht="13.5" thickBot="1">
      <c r="A93" s="1328"/>
      <c r="B93" s="416"/>
      <c r="C93" s="532" t="s">
        <v>1307</v>
      </c>
      <c r="D93" s="960" t="s">
        <v>1308</v>
      </c>
      <c r="E93" s="172">
        <v>2347.15</v>
      </c>
      <c r="F93" s="8">
        <f t="shared" si="14"/>
        <v>1290.9325000000001</v>
      </c>
      <c r="G93" s="10">
        <f t="shared" si="15"/>
        <v>0</v>
      </c>
      <c r="H93" s="11">
        <f t="shared" si="16"/>
        <v>40.496552525000006</v>
      </c>
      <c r="I93" s="11">
        <f t="shared" si="17"/>
        <v>0</v>
      </c>
      <c r="J93" s="11">
        <f t="shared" si="13"/>
        <v>35.371550500000005</v>
      </c>
      <c r="K93" s="11">
        <f t="shared" si="18"/>
        <v>0</v>
      </c>
      <c r="L93" s="11">
        <f t="shared" si="12"/>
        <v>29.433261000000005</v>
      </c>
      <c r="M93" s="11">
        <f t="shared" si="19"/>
        <v>0</v>
      </c>
      <c r="N93" s="11">
        <f t="shared" si="20"/>
        <v>26.335023000000003</v>
      </c>
      <c r="O93" s="11">
        <f t="shared" si="21"/>
        <v>0</v>
      </c>
      <c r="P93" s="11">
        <f t="shared" si="10"/>
        <v>0.74918622171250004</v>
      </c>
      <c r="Q93" s="11">
        <f t="shared" si="11"/>
        <v>0</v>
      </c>
      <c r="R93" s="415"/>
      <c r="S93" s="415"/>
    </row>
    <row r="94" spans="1:19" s="180" customFormat="1" ht="13.5" thickBot="1">
      <c r="A94" s="1328"/>
      <c r="B94" s="416"/>
      <c r="C94" s="532" t="s">
        <v>1211</v>
      </c>
      <c r="D94" s="960" t="s">
        <v>1212</v>
      </c>
      <c r="E94" s="174">
        <v>5200</v>
      </c>
      <c r="F94" s="8">
        <f t="shared" si="14"/>
        <v>2860.0000000000005</v>
      </c>
      <c r="G94" s="10">
        <f t="shared" si="15"/>
        <v>0</v>
      </c>
      <c r="H94" s="11">
        <f t="shared" si="16"/>
        <v>89.718200000000024</v>
      </c>
      <c r="I94" s="11">
        <f t="shared" si="17"/>
        <v>0</v>
      </c>
      <c r="J94" s="11">
        <f t="shared" si="13"/>
        <v>78.364000000000019</v>
      </c>
      <c r="K94" s="11">
        <f t="shared" si="18"/>
        <v>0</v>
      </c>
      <c r="L94" s="11">
        <f t="shared" si="12"/>
        <v>65.208000000000013</v>
      </c>
      <c r="M94" s="11">
        <f t="shared" si="19"/>
        <v>0</v>
      </c>
      <c r="N94" s="11">
        <f t="shared" si="20"/>
        <v>58.344000000000015</v>
      </c>
      <c r="O94" s="11">
        <f t="shared" si="21"/>
        <v>0</v>
      </c>
      <c r="P94" s="11">
        <f t="shared" si="10"/>
        <v>1.6597867000000004</v>
      </c>
      <c r="Q94" s="11">
        <f t="shared" si="11"/>
        <v>0</v>
      </c>
      <c r="R94" s="415"/>
      <c r="S94" s="415"/>
    </row>
    <row r="95" spans="1:19" s="180" customFormat="1" ht="13.5" thickBot="1">
      <c r="A95" s="1328"/>
      <c r="B95" s="416"/>
      <c r="C95" s="891" t="s">
        <v>1213</v>
      </c>
      <c r="D95" s="575" t="s">
        <v>1214</v>
      </c>
      <c r="E95" s="174">
        <v>5200</v>
      </c>
      <c r="F95" s="8">
        <f t="shared" si="14"/>
        <v>2860.0000000000005</v>
      </c>
      <c r="G95" s="10">
        <f t="shared" si="15"/>
        <v>0</v>
      </c>
      <c r="H95" s="11">
        <f t="shared" si="16"/>
        <v>89.718200000000024</v>
      </c>
      <c r="I95" s="11">
        <f t="shared" si="17"/>
        <v>0</v>
      </c>
      <c r="J95" s="11">
        <f t="shared" si="13"/>
        <v>78.364000000000019</v>
      </c>
      <c r="K95" s="11">
        <f t="shared" si="18"/>
        <v>0</v>
      </c>
      <c r="L95" s="11">
        <f t="shared" si="12"/>
        <v>65.208000000000013</v>
      </c>
      <c r="M95" s="11">
        <f t="shared" si="19"/>
        <v>0</v>
      </c>
      <c r="N95" s="11">
        <f t="shared" si="20"/>
        <v>58.344000000000015</v>
      </c>
      <c r="O95" s="11">
        <f t="shared" si="21"/>
        <v>0</v>
      </c>
      <c r="P95" s="11">
        <f t="shared" si="10"/>
        <v>1.6597867000000004</v>
      </c>
      <c r="Q95" s="11">
        <f t="shared" si="11"/>
        <v>0</v>
      </c>
      <c r="R95" s="415"/>
      <c r="S95" s="415"/>
    </row>
    <row r="96" spans="1:19" s="180" customFormat="1" ht="13.5" thickBot="1">
      <c r="A96" s="1328"/>
      <c r="B96" s="416"/>
      <c r="C96" s="891" t="s">
        <v>1368</v>
      </c>
      <c r="D96" s="575" t="s">
        <v>4009</v>
      </c>
      <c r="E96" s="174">
        <v>5200</v>
      </c>
      <c r="F96" s="8">
        <f t="shared" si="14"/>
        <v>2860.0000000000005</v>
      </c>
      <c r="G96" s="10">
        <f t="shared" si="15"/>
        <v>0</v>
      </c>
      <c r="H96" s="11">
        <f t="shared" si="16"/>
        <v>89.718200000000024</v>
      </c>
      <c r="I96" s="11">
        <f t="shared" si="17"/>
        <v>0</v>
      </c>
      <c r="J96" s="11">
        <f t="shared" si="13"/>
        <v>78.364000000000019</v>
      </c>
      <c r="K96" s="11">
        <f t="shared" si="18"/>
        <v>0</v>
      </c>
      <c r="L96" s="11">
        <f t="shared" si="12"/>
        <v>65.208000000000013</v>
      </c>
      <c r="M96" s="11">
        <f t="shared" si="19"/>
        <v>0</v>
      </c>
      <c r="N96" s="11">
        <f t="shared" si="20"/>
        <v>58.344000000000015</v>
      </c>
      <c r="O96" s="11">
        <f t="shared" si="21"/>
        <v>0</v>
      </c>
      <c r="P96" s="11">
        <f t="shared" si="10"/>
        <v>1.6597867000000004</v>
      </c>
      <c r="Q96" s="11">
        <f t="shared" si="11"/>
        <v>0</v>
      </c>
      <c r="R96" s="415"/>
      <c r="S96" s="415"/>
    </row>
    <row r="97" spans="1:19" s="180" customFormat="1" ht="13.5" thickBot="1">
      <c r="A97" s="1328"/>
      <c r="B97" s="416"/>
      <c r="C97" s="891" t="s">
        <v>1215</v>
      </c>
      <c r="D97" s="575" t="s">
        <v>1216</v>
      </c>
      <c r="E97" s="174">
        <v>9995</v>
      </c>
      <c r="F97" s="8">
        <f t="shared" si="14"/>
        <v>5497.25</v>
      </c>
      <c r="G97" s="9">
        <f t="shared" si="15"/>
        <v>0</v>
      </c>
      <c r="H97" s="52">
        <f t="shared" si="16"/>
        <v>172.44873250000001</v>
      </c>
      <c r="I97" s="11">
        <f t="shared" si="17"/>
        <v>0</v>
      </c>
      <c r="J97" s="11">
        <f t="shared" si="13"/>
        <v>150.62465</v>
      </c>
      <c r="K97" s="11">
        <f t="shared" si="18"/>
        <v>0</v>
      </c>
      <c r="L97" s="11">
        <f t="shared" si="12"/>
        <v>125.3373</v>
      </c>
      <c r="M97" s="11">
        <f t="shared" si="19"/>
        <v>0</v>
      </c>
      <c r="N97" s="11">
        <f t="shared" si="20"/>
        <v>112.1439</v>
      </c>
      <c r="O97" s="11">
        <f t="shared" si="21"/>
        <v>0</v>
      </c>
      <c r="P97" s="11">
        <f t="shared" si="10"/>
        <v>3.1903015512500001</v>
      </c>
      <c r="Q97" s="11">
        <f t="shared" si="11"/>
        <v>0</v>
      </c>
      <c r="R97" s="415"/>
      <c r="S97" s="415"/>
    </row>
    <row r="98" spans="1:19" s="180" customFormat="1" ht="13.5" thickBot="1">
      <c r="A98" s="1328"/>
      <c r="B98" s="416"/>
      <c r="C98" s="532" t="s">
        <v>4031</v>
      </c>
      <c r="D98" s="960" t="s">
        <v>4032</v>
      </c>
      <c r="E98" s="172">
        <v>35280</v>
      </c>
      <c r="F98" s="8">
        <f t="shared" si="14"/>
        <v>19404</v>
      </c>
      <c r="G98" s="9">
        <f t="shared" si="15"/>
        <v>0</v>
      </c>
      <c r="H98" s="52">
        <f t="shared" si="16"/>
        <v>608.70348000000001</v>
      </c>
      <c r="I98" s="11">
        <f t="shared" si="17"/>
        <v>0</v>
      </c>
      <c r="J98" s="11">
        <f t="shared" si="13"/>
        <v>531.66960000000006</v>
      </c>
      <c r="K98" s="11">
        <f t="shared" si="18"/>
        <v>0</v>
      </c>
      <c r="L98" s="11">
        <f t="shared" si="12"/>
        <v>442.41120000000001</v>
      </c>
      <c r="M98" s="11">
        <f t="shared" si="19"/>
        <v>0</v>
      </c>
      <c r="N98" s="11">
        <f t="shared" si="20"/>
        <v>395.84160000000003</v>
      </c>
      <c r="O98" s="11">
        <f t="shared" si="21"/>
        <v>0</v>
      </c>
      <c r="P98" s="11">
        <f t="shared" si="10"/>
        <v>11.261014379999999</v>
      </c>
      <c r="Q98" s="11">
        <f t="shared" si="11"/>
        <v>0</v>
      </c>
      <c r="R98" s="415"/>
      <c r="S98" s="415"/>
    </row>
    <row r="99" spans="1:19" s="180" customFormat="1" ht="13.5" thickBot="1">
      <c r="A99" s="1328"/>
      <c r="B99" s="416"/>
      <c r="C99" s="891" t="s">
        <v>1369</v>
      </c>
      <c r="D99" s="575" t="s">
        <v>4101</v>
      </c>
      <c r="E99" s="174">
        <v>36979.17</v>
      </c>
      <c r="F99" s="8">
        <f t="shared" si="14"/>
        <v>20338.5435</v>
      </c>
      <c r="G99" s="9">
        <f t="shared" si="15"/>
        <v>0</v>
      </c>
      <c r="H99" s="52">
        <f t="shared" si="16"/>
        <v>638.02010959500001</v>
      </c>
      <c r="I99" s="11">
        <f t="shared" si="17"/>
        <v>0</v>
      </c>
      <c r="J99" s="11">
        <f t="shared" si="13"/>
        <v>557.27609189999998</v>
      </c>
      <c r="K99" s="11">
        <f t="shared" si="18"/>
        <v>0</v>
      </c>
      <c r="L99" s="11">
        <f t="shared" si="12"/>
        <v>463.71879180000002</v>
      </c>
      <c r="M99" s="11">
        <f t="shared" si="19"/>
        <v>0</v>
      </c>
      <c r="N99" s="11">
        <f t="shared" si="20"/>
        <v>414.90628740000005</v>
      </c>
      <c r="O99" s="11">
        <f t="shared" si="21"/>
        <v>0</v>
      </c>
      <c r="P99" s="11">
        <f t="shared" si="10"/>
        <v>11.8033720275075</v>
      </c>
      <c r="Q99" s="11">
        <f t="shared" si="11"/>
        <v>0</v>
      </c>
      <c r="R99" s="415"/>
      <c r="S99" s="415"/>
    </row>
    <row r="100" spans="1:19" s="180" customFormat="1" ht="13.5" thickBot="1">
      <c r="A100" s="1328"/>
      <c r="B100" s="416"/>
      <c r="C100" s="532" t="s">
        <v>1370</v>
      </c>
      <c r="D100" s="960" t="s">
        <v>1371</v>
      </c>
      <c r="E100" s="172">
        <v>95931.99</v>
      </c>
      <c r="F100" s="8">
        <f t="shared" si="14"/>
        <v>52762.594500000007</v>
      </c>
      <c r="G100" s="9">
        <f t="shared" si="15"/>
        <v>0</v>
      </c>
      <c r="H100" s="52">
        <f t="shared" si="16"/>
        <v>1655.1625894650003</v>
      </c>
      <c r="I100" s="11">
        <f t="shared" si="17"/>
        <v>0</v>
      </c>
      <c r="J100" s="11">
        <f t="shared" si="13"/>
        <v>1445.6950893000003</v>
      </c>
      <c r="K100" s="11">
        <f t="shared" si="18"/>
        <v>0</v>
      </c>
      <c r="L100" s="11">
        <f t="shared" si="12"/>
        <v>1202.9871546000002</v>
      </c>
      <c r="M100" s="11">
        <f t="shared" si="19"/>
        <v>0</v>
      </c>
      <c r="N100" s="11">
        <f t="shared" si="20"/>
        <v>1076.3569278000002</v>
      </c>
      <c r="O100" s="11">
        <f t="shared" si="21"/>
        <v>0</v>
      </c>
      <c r="P100" s="11">
        <f t="shared" si="10"/>
        <v>30.620507905102503</v>
      </c>
      <c r="Q100" s="11">
        <f t="shared" si="11"/>
        <v>0</v>
      </c>
      <c r="R100" s="415"/>
      <c r="S100" s="415"/>
    </row>
    <row r="101" spans="1:19" s="180" customFormat="1" ht="13.5" thickBot="1">
      <c r="A101" s="1328"/>
      <c r="B101" s="416"/>
      <c r="C101" s="891" t="s">
        <v>1346</v>
      </c>
      <c r="D101" s="575" t="s">
        <v>4097</v>
      </c>
      <c r="E101" s="174">
        <v>7969.5</v>
      </c>
      <c r="F101" s="8">
        <f t="shared" si="14"/>
        <v>4383.2250000000004</v>
      </c>
      <c r="G101" s="9">
        <f t="shared" si="15"/>
        <v>0</v>
      </c>
      <c r="H101" s="52">
        <f t="shared" si="16"/>
        <v>137.50176825000003</v>
      </c>
      <c r="I101" s="11">
        <f t="shared" si="17"/>
        <v>0</v>
      </c>
      <c r="J101" s="11">
        <f t="shared" si="13"/>
        <v>120.10036500000001</v>
      </c>
      <c r="K101" s="11">
        <f t="shared" si="18"/>
        <v>0</v>
      </c>
      <c r="L101" s="11">
        <f t="shared" si="12"/>
        <v>99.93753000000001</v>
      </c>
      <c r="M101" s="11">
        <f t="shared" si="19"/>
        <v>0</v>
      </c>
      <c r="N101" s="11">
        <f t="shared" si="20"/>
        <v>89.417790000000011</v>
      </c>
      <c r="O101" s="11">
        <f t="shared" si="21"/>
        <v>0</v>
      </c>
      <c r="P101" s="11">
        <f t="shared" si="10"/>
        <v>2.5437827126250006</v>
      </c>
      <c r="Q101" s="11">
        <f t="shared" si="11"/>
        <v>0</v>
      </c>
      <c r="R101" s="415"/>
      <c r="S101" s="415"/>
    </row>
    <row r="102" spans="1:19" s="180" customFormat="1" ht="13.5" thickBot="1">
      <c r="A102" s="1328"/>
      <c r="B102" s="416"/>
      <c r="C102" s="891" t="s">
        <v>1311</v>
      </c>
      <c r="D102" s="575" t="s">
        <v>1154</v>
      </c>
      <c r="E102" s="174">
        <v>2061.2600000000002</v>
      </c>
      <c r="F102" s="8">
        <f t="shared" si="14"/>
        <v>1133.6930000000002</v>
      </c>
      <c r="G102" s="9">
        <f t="shared" si="15"/>
        <v>0</v>
      </c>
      <c r="H102" s="52">
        <f t="shared" si="16"/>
        <v>35.563949410000006</v>
      </c>
      <c r="I102" s="11">
        <f t="shared" si="17"/>
        <v>0</v>
      </c>
      <c r="J102" s="11">
        <f t="shared" si="13"/>
        <v>31.063188200000006</v>
      </c>
      <c r="K102" s="11">
        <f t="shared" si="18"/>
        <v>0</v>
      </c>
      <c r="L102" s="11">
        <f t="shared" si="12"/>
        <v>25.848200400000007</v>
      </c>
      <c r="M102" s="11">
        <f t="shared" si="19"/>
        <v>0</v>
      </c>
      <c r="N102" s="11">
        <f t="shared" si="20"/>
        <v>23.127337200000007</v>
      </c>
      <c r="O102" s="11">
        <f t="shared" si="21"/>
        <v>0</v>
      </c>
      <c r="P102" s="11">
        <f t="shared" si="10"/>
        <v>0.65793306408500007</v>
      </c>
      <c r="Q102" s="11">
        <f t="shared" si="11"/>
        <v>0</v>
      </c>
      <c r="R102" s="415"/>
      <c r="S102" s="415"/>
    </row>
    <row r="103" spans="1:19" s="180" customFormat="1" ht="13.5" thickBot="1">
      <c r="A103" s="1328"/>
      <c r="B103" s="416"/>
      <c r="C103" s="891" t="s">
        <v>1219</v>
      </c>
      <c r="D103" s="575" t="s">
        <v>1220</v>
      </c>
      <c r="E103" s="174">
        <v>23783.759999999998</v>
      </c>
      <c r="F103" s="8">
        <f t="shared" si="14"/>
        <v>13081.067999999999</v>
      </c>
      <c r="G103" s="9">
        <f t="shared" si="15"/>
        <v>0</v>
      </c>
      <c r="H103" s="52">
        <f t="shared" si="16"/>
        <v>410.35310315999999</v>
      </c>
      <c r="I103" s="11">
        <f t="shared" si="17"/>
        <v>0</v>
      </c>
      <c r="J103" s="11">
        <f t="shared" si="13"/>
        <v>358.4212632</v>
      </c>
      <c r="K103" s="11">
        <f t="shared" si="18"/>
        <v>0</v>
      </c>
      <c r="L103" s="11">
        <f t="shared" si="12"/>
        <v>298.24835039999999</v>
      </c>
      <c r="M103" s="11">
        <f t="shared" si="19"/>
        <v>0</v>
      </c>
      <c r="N103" s="11">
        <f t="shared" si="20"/>
        <v>266.8537872</v>
      </c>
      <c r="O103" s="11">
        <f t="shared" si="21"/>
        <v>0</v>
      </c>
      <c r="P103" s="11">
        <f t="shared" si="10"/>
        <v>7.5915324084599991</v>
      </c>
      <c r="Q103" s="11">
        <f t="shared" si="11"/>
        <v>0</v>
      </c>
      <c r="R103" s="415"/>
      <c r="S103" s="415"/>
    </row>
    <row r="104" spans="1:19" s="180" customFormat="1" ht="13.5" thickBot="1">
      <c r="A104" s="1328"/>
      <c r="B104" s="416"/>
      <c r="C104" s="532" t="s">
        <v>3990</v>
      </c>
      <c r="D104" s="960" t="s">
        <v>3991</v>
      </c>
      <c r="E104" s="172">
        <v>12289.2</v>
      </c>
      <c r="F104" s="8">
        <f t="shared" si="14"/>
        <v>6759.0600000000013</v>
      </c>
      <c r="G104" s="9">
        <f t="shared" si="15"/>
        <v>0</v>
      </c>
      <c r="H104" s="52">
        <f t="shared" si="16"/>
        <v>212.03171220000004</v>
      </c>
      <c r="I104" s="11">
        <f t="shared" si="17"/>
        <v>0</v>
      </c>
      <c r="J104" s="11">
        <f t="shared" si="13"/>
        <v>185.19824400000005</v>
      </c>
      <c r="K104" s="11">
        <f t="shared" si="18"/>
        <v>0</v>
      </c>
      <c r="L104" s="11">
        <f t="shared" si="12"/>
        <v>154.10656800000004</v>
      </c>
      <c r="M104" s="11">
        <f t="shared" si="19"/>
        <v>0</v>
      </c>
      <c r="N104" s="11">
        <f t="shared" si="20"/>
        <v>137.88482400000004</v>
      </c>
      <c r="O104" s="11">
        <f t="shared" si="21"/>
        <v>0</v>
      </c>
      <c r="P104" s="11">
        <f t="shared" si="10"/>
        <v>3.9225866757000007</v>
      </c>
      <c r="Q104" s="11">
        <f t="shared" si="11"/>
        <v>0</v>
      </c>
      <c r="R104" s="415"/>
      <c r="S104" s="415"/>
    </row>
    <row r="105" spans="1:19" s="180" customFormat="1" ht="13.5" thickBot="1">
      <c r="A105" s="1328"/>
      <c r="B105" s="416"/>
      <c r="C105" s="532" t="s">
        <v>1221</v>
      </c>
      <c r="D105" s="960" t="s">
        <v>1222</v>
      </c>
      <c r="E105" s="172">
        <v>1479.88</v>
      </c>
      <c r="F105" s="8">
        <f t="shared" si="14"/>
        <v>813.93400000000008</v>
      </c>
      <c r="G105" s="9">
        <f t="shared" si="15"/>
        <v>0</v>
      </c>
      <c r="H105" s="52">
        <f t="shared" si="16"/>
        <v>25.533109580000005</v>
      </c>
      <c r="I105" s="11">
        <f t="shared" si="17"/>
        <v>0</v>
      </c>
      <c r="J105" s="11">
        <f t="shared" si="13"/>
        <v>22.301791600000001</v>
      </c>
      <c r="K105" s="11">
        <f t="shared" si="18"/>
        <v>0</v>
      </c>
      <c r="L105" s="11">
        <f t="shared" si="12"/>
        <v>18.557695200000001</v>
      </c>
      <c r="M105" s="11">
        <f t="shared" si="19"/>
        <v>0</v>
      </c>
      <c r="N105" s="11">
        <f t="shared" si="20"/>
        <v>16.604253600000003</v>
      </c>
      <c r="O105" s="11">
        <f t="shared" si="21"/>
        <v>0</v>
      </c>
      <c r="P105" s="11">
        <f t="shared" si="10"/>
        <v>0.47236252723000005</v>
      </c>
      <c r="Q105" s="11">
        <f t="shared" si="11"/>
        <v>0</v>
      </c>
      <c r="R105" s="415"/>
      <c r="S105" s="415"/>
    </row>
    <row r="106" spans="1:19" s="180" customFormat="1" ht="13.5" thickBot="1">
      <c r="A106" s="1328"/>
      <c r="B106" s="416"/>
      <c r="C106" s="532" t="s">
        <v>3992</v>
      </c>
      <c r="D106" s="960" t="s">
        <v>3993</v>
      </c>
      <c r="E106" s="172">
        <v>1100</v>
      </c>
      <c r="F106" s="8">
        <f t="shared" si="14"/>
        <v>605</v>
      </c>
      <c r="G106" s="9">
        <f t="shared" si="15"/>
        <v>0</v>
      </c>
      <c r="H106" s="52">
        <f t="shared" si="16"/>
        <v>18.978850000000001</v>
      </c>
      <c r="I106" s="11">
        <f t="shared" si="17"/>
        <v>0</v>
      </c>
      <c r="J106" s="11">
        <f t="shared" si="13"/>
        <v>16.577000000000002</v>
      </c>
      <c r="K106" s="11">
        <f t="shared" si="18"/>
        <v>0</v>
      </c>
      <c r="L106" s="11">
        <f t="shared" si="12"/>
        <v>13.794</v>
      </c>
      <c r="M106" s="11">
        <f t="shared" si="19"/>
        <v>0</v>
      </c>
      <c r="N106" s="11">
        <f t="shared" si="20"/>
        <v>12.342000000000001</v>
      </c>
      <c r="O106" s="11">
        <f t="shared" si="21"/>
        <v>0</v>
      </c>
      <c r="P106" s="11">
        <f t="shared" si="10"/>
        <v>0.35110872500000001</v>
      </c>
      <c r="Q106" s="11">
        <f t="shared" si="11"/>
        <v>0</v>
      </c>
      <c r="R106" s="415"/>
      <c r="S106" s="415"/>
    </row>
    <row r="107" spans="1:19" s="180" customFormat="1" ht="13.5" thickBot="1">
      <c r="A107" s="1328"/>
      <c r="B107" s="416"/>
      <c r="C107" s="532" t="s">
        <v>3994</v>
      </c>
      <c r="D107" s="960" t="s">
        <v>3995</v>
      </c>
      <c r="E107" s="172">
        <v>1100</v>
      </c>
      <c r="F107" s="8">
        <f t="shared" si="14"/>
        <v>605</v>
      </c>
      <c r="G107" s="9">
        <f t="shared" si="15"/>
        <v>0</v>
      </c>
      <c r="H107" s="52">
        <f t="shared" si="16"/>
        <v>18.978850000000001</v>
      </c>
      <c r="I107" s="11">
        <f t="shared" si="17"/>
        <v>0</v>
      </c>
      <c r="J107" s="11">
        <f t="shared" si="13"/>
        <v>16.577000000000002</v>
      </c>
      <c r="K107" s="11">
        <f t="shared" si="18"/>
        <v>0</v>
      </c>
      <c r="L107" s="11">
        <f t="shared" si="12"/>
        <v>13.794</v>
      </c>
      <c r="M107" s="11">
        <f t="shared" si="19"/>
        <v>0</v>
      </c>
      <c r="N107" s="11">
        <f t="shared" si="20"/>
        <v>12.342000000000001</v>
      </c>
      <c r="O107" s="11">
        <f t="shared" si="21"/>
        <v>0</v>
      </c>
      <c r="P107" s="11">
        <f t="shared" si="10"/>
        <v>0.35110872500000001</v>
      </c>
      <c r="Q107" s="11">
        <f t="shared" si="11"/>
        <v>0</v>
      </c>
      <c r="R107" s="415"/>
      <c r="S107" s="415"/>
    </row>
    <row r="108" spans="1:19" s="180" customFormat="1" ht="13.5" thickBot="1">
      <c r="A108" s="1328"/>
      <c r="B108" s="416"/>
      <c r="C108" s="532" t="s">
        <v>3996</v>
      </c>
      <c r="D108" s="960" t="s">
        <v>3997</v>
      </c>
      <c r="E108" s="172">
        <v>550</v>
      </c>
      <c r="F108" s="8">
        <f t="shared" si="14"/>
        <v>302.5</v>
      </c>
      <c r="G108" s="9">
        <f t="shared" si="15"/>
        <v>0</v>
      </c>
      <c r="H108" s="52">
        <f t="shared" si="16"/>
        <v>9.4894250000000007</v>
      </c>
      <c r="I108" s="11">
        <f t="shared" si="17"/>
        <v>0</v>
      </c>
      <c r="J108" s="11">
        <f t="shared" si="13"/>
        <v>8.2885000000000009</v>
      </c>
      <c r="K108" s="11">
        <f t="shared" si="18"/>
        <v>0</v>
      </c>
      <c r="L108" s="11">
        <f t="shared" si="12"/>
        <v>6.8970000000000002</v>
      </c>
      <c r="M108" s="11">
        <f t="shared" si="19"/>
        <v>0</v>
      </c>
      <c r="N108" s="11">
        <f t="shared" si="20"/>
        <v>6.1710000000000003</v>
      </c>
      <c r="O108" s="11">
        <f t="shared" si="21"/>
        <v>0</v>
      </c>
      <c r="P108" s="11">
        <f t="shared" si="10"/>
        <v>0.17555436250000001</v>
      </c>
      <c r="Q108" s="11">
        <f t="shared" si="11"/>
        <v>0</v>
      </c>
      <c r="R108" s="415"/>
      <c r="S108" s="415"/>
    </row>
    <row r="109" spans="1:19" s="180" customFormat="1" ht="13.5" thickBot="1">
      <c r="A109" s="1328"/>
      <c r="B109" s="416"/>
      <c r="C109" s="532" t="s">
        <v>1223</v>
      </c>
      <c r="D109" s="960" t="s">
        <v>1224</v>
      </c>
      <c r="E109" s="172">
        <v>1177.18</v>
      </c>
      <c r="F109" s="8">
        <f t="shared" si="14"/>
        <v>647.44900000000007</v>
      </c>
      <c r="G109" s="9">
        <f t="shared" si="15"/>
        <v>0</v>
      </c>
      <c r="H109" s="52">
        <f t="shared" si="16"/>
        <v>20.310475130000004</v>
      </c>
      <c r="I109" s="11">
        <f t="shared" si="17"/>
        <v>0</v>
      </c>
      <c r="J109" s="11">
        <f t="shared" si="13"/>
        <v>17.740102600000004</v>
      </c>
      <c r="K109" s="11">
        <f>J109*B109</f>
        <v>0</v>
      </c>
      <c r="L109" s="11">
        <f t="shared" si="12"/>
        <v>14.761837200000002</v>
      </c>
      <c r="M109" s="11">
        <f t="shared" si="19"/>
        <v>0</v>
      </c>
      <c r="N109" s="11">
        <f t="shared" si="20"/>
        <v>13.207959600000002</v>
      </c>
      <c r="O109" s="11">
        <f t="shared" si="21"/>
        <v>0</v>
      </c>
      <c r="P109" s="11">
        <f t="shared" si="10"/>
        <v>0.37574378990500007</v>
      </c>
      <c r="Q109" s="11">
        <f t="shared" si="11"/>
        <v>0</v>
      </c>
      <c r="R109" s="415"/>
      <c r="S109" s="415"/>
    </row>
    <row r="110" spans="1:19" s="180" customFormat="1" ht="13.5" thickBot="1">
      <c r="A110" s="1328"/>
      <c r="B110" s="416"/>
      <c r="C110" s="532" t="s">
        <v>1312</v>
      </c>
      <c r="D110" s="960" t="s">
        <v>3998</v>
      </c>
      <c r="E110" s="172">
        <v>384.77</v>
      </c>
      <c r="F110" s="8">
        <f t="shared" si="14"/>
        <v>211.62350000000001</v>
      </c>
      <c r="G110" s="10">
        <f t="shared" si="15"/>
        <v>0</v>
      </c>
      <c r="H110" s="11">
        <f t="shared" si="16"/>
        <v>6.6386291950000009</v>
      </c>
      <c r="I110" s="11">
        <f t="shared" si="17"/>
        <v>0</v>
      </c>
      <c r="J110" s="11">
        <f t="shared" si="13"/>
        <v>5.7984838999999999</v>
      </c>
      <c r="K110" s="11">
        <f>J110*B110</f>
        <v>0</v>
      </c>
      <c r="L110" s="11">
        <f t="shared" si="12"/>
        <v>4.8250158000000001</v>
      </c>
      <c r="M110" s="11">
        <f t="shared" si="19"/>
        <v>0</v>
      </c>
      <c r="N110" s="11">
        <f t="shared" si="20"/>
        <v>4.3171194000000002</v>
      </c>
      <c r="O110" s="11">
        <f t="shared" si="21"/>
        <v>0</v>
      </c>
      <c r="P110" s="11">
        <f t="shared" si="10"/>
        <v>0.12281464010750001</v>
      </c>
      <c r="Q110" s="11">
        <f t="shared" si="11"/>
        <v>0</v>
      </c>
      <c r="R110" s="415"/>
      <c r="S110" s="415"/>
    </row>
    <row r="111" spans="1:19" s="180" customFormat="1" ht="13.5" thickBot="1">
      <c r="A111" s="1328"/>
      <c r="B111" s="416"/>
      <c r="C111" s="532" t="s">
        <v>1225</v>
      </c>
      <c r="D111" s="960" t="s">
        <v>1226</v>
      </c>
      <c r="E111" s="172">
        <v>27684.06</v>
      </c>
      <c r="F111" s="8">
        <f t="shared" si="14"/>
        <v>15226.233000000002</v>
      </c>
      <c r="G111" s="9">
        <f t="shared" si="15"/>
        <v>0</v>
      </c>
      <c r="H111" s="52">
        <f t="shared" si="16"/>
        <v>477.64692921000011</v>
      </c>
      <c r="I111" s="11">
        <f t="shared" si="17"/>
        <v>0</v>
      </c>
      <c r="J111" s="11">
        <f t="shared" si="13"/>
        <v>417.19878420000009</v>
      </c>
      <c r="K111" s="11">
        <f>J111*B111</f>
        <v>0</v>
      </c>
      <c r="L111" s="11">
        <f t="shared" si="12"/>
        <v>347.15811240000005</v>
      </c>
      <c r="M111" s="11">
        <f t="shared" si="19"/>
        <v>0</v>
      </c>
      <c r="N111" s="11">
        <f t="shared" si="20"/>
        <v>310.61515320000007</v>
      </c>
      <c r="O111" s="11">
        <f t="shared" si="21"/>
        <v>0</v>
      </c>
      <c r="P111" s="11">
        <f t="shared" si="10"/>
        <v>8.836468190385002</v>
      </c>
      <c r="Q111" s="11">
        <f t="shared" si="11"/>
        <v>0</v>
      </c>
      <c r="R111" s="415"/>
      <c r="S111" s="415"/>
    </row>
    <row r="112" spans="1:19" s="175" customFormat="1" ht="13.5" thickBot="1">
      <c r="A112" s="1328"/>
      <c r="B112" s="873"/>
      <c r="C112" s="532" t="s">
        <v>1372</v>
      </c>
      <c r="D112" s="960" t="s">
        <v>1373</v>
      </c>
      <c r="E112" s="172">
        <v>4894.8900000000003</v>
      </c>
      <c r="F112" s="52">
        <f t="shared" si="14"/>
        <v>2692.1895000000004</v>
      </c>
      <c r="G112" s="53">
        <f t="shared" si="15"/>
        <v>0</v>
      </c>
      <c r="H112" s="52">
        <f t="shared" si="16"/>
        <v>84.453984615000024</v>
      </c>
      <c r="I112" s="11">
        <f t="shared" si="17"/>
        <v>0</v>
      </c>
      <c r="J112" s="11">
        <f t="shared" si="13"/>
        <v>73.765992300000008</v>
      </c>
      <c r="K112" s="11">
        <f t="shared" si="18"/>
        <v>0</v>
      </c>
      <c r="L112" s="11">
        <f t="shared" si="12"/>
        <v>61.381920600000015</v>
      </c>
      <c r="M112" s="11">
        <f t="shared" si="19"/>
        <v>0</v>
      </c>
      <c r="N112" s="11">
        <f t="shared" si="20"/>
        <v>54.920665800000009</v>
      </c>
      <c r="O112" s="11">
        <f t="shared" si="21"/>
        <v>0</v>
      </c>
      <c r="P112" s="11">
        <f t="shared" si="10"/>
        <v>1.5623987153775003</v>
      </c>
      <c r="Q112" s="11">
        <f t="shared" si="11"/>
        <v>0</v>
      </c>
      <c r="R112" s="892"/>
      <c r="S112" s="892"/>
    </row>
    <row r="113" spans="1:19" s="175" customFormat="1" ht="13.5" thickBot="1">
      <c r="A113" s="1328"/>
      <c r="B113" s="873"/>
      <c r="C113" s="532" t="s">
        <v>1374</v>
      </c>
      <c r="D113" s="960" t="s">
        <v>1375</v>
      </c>
      <c r="E113" s="174">
        <v>7557.95</v>
      </c>
      <c r="F113" s="52">
        <f t="shared" si="14"/>
        <v>4156.8725000000004</v>
      </c>
      <c r="G113" s="53">
        <f t="shared" si="15"/>
        <v>0</v>
      </c>
      <c r="H113" s="52">
        <f t="shared" si="16"/>
        <v>130.40109032500001</v>
      </c>
      <c r="I113" s="11">
        <f t="shared" si="17"/>
        <v>0</v>
      </c>
      <c r="J113" s="11">
        <f t="shared" si="13"/>
        <v>113.89830650000002</v>
      </c>
      <c r="K113" s="11">
        <f t="shared" si="18"/>
        <v>0</v>
      </c>
      <c r="L113" s="11">
        <f t="shared" si="12"/>
        <v>94.776693000000009</v>
      </c>
      <c r="M113" s="11">
        <f t="shared" si="19"/>
        <v>0</v>
      </c>
      <c r="N113" s="11">
        <f t="shared" si="20"/>
        <v>84.800199000000021</v>
      </c>
      <c r="O113" s="11">
        <f t="shared" si="21"/>
        <v>0</v>
      </c>
      <c r="P113" s="11">
        <f t="shared" si="10"/>
        <v>2.4124201710125002</v>
      </c>
      <c r="Q113" s="11">
        <f t="shared" si="11"/>
        <v>0</v>
      </c>
      <c r="R113" s="892"/>
      <c r="S113" s="892"/>
    </row>
    <row r="114" spans="1:19" s="175" customFormat="1" ht="13.5" thickBot="1">
      <c r="A114" s="1328"/>
      <c r="B114" s="873"/>
      <c r="C114" s="532" t="s">
        <v>1376</v>
      </c>
      <c r="D114" s="960" t="s">
        <v>1377</v>
      </c>
      <c r="E114" s="172">
        <v>2994.59</v>
      </c>
      <c r="F114" s="52">
        <f t="shared" si="14"/>
        <v>1647.0245000000002</v>
      </c>
      <c r="G114" s="53">
        <f t="shared" si="15"/>
        <v>0</v>
      </c>
      <c r="H114" s="52">
        <f t="shared" si="16"/>
        <v>51.667158565000008</v>
      </c>
      <c r="I114" s="11">
        <f t="shared" si="17"/>
        <v>0</v>
      </c>
      <c r="J114" s="11">
        <f t="shared" si="13"/>
        <v>45.128471300000008</v>
      </c>
      <c r="K114" s="11">
        <f t="shared" si="18"/>
        <v>0</v>
      </c>
      <c r="L114" s="11">
        <f t="shared" si="12"/>
        <v>37.552158600000006</v>
      </c>
      <c r="M114" s="11">
        <f t="shared" si="19"/>
        <v>0</v>
      </c>
      <c r="N114" s="11">
        <f t="shared" si="20"/>
        <v>33.599299800000004</v>
      </c>
      <c r="O114" s="11">
        <f t="shared" si="21"/>
        <v>0</v>
      </c>
      <c r="P114" s="11">
        <f t="shared" si="10"/>
        <v>0.95584243345250008</v>
      </c>
      <c r="Q114" s="11">
        <f t="shared" si="11"/>
        <v>0</v>
      </c>
      <c r="R114" s="892"/>
      <c r="S114" s="892"/>
    </row>
    <row r="115" spans="1:19" s="180" customFormat="1" ht="13.5" thickBot="1">
      <c r="A115" s="1328"/>
      <c r="B115" s="416"/>
      <c r="C115" s="891" t="s">
        <v>1378</v>
      </c>
      <c r="D115" s="575" t="s">
        <v>1379</v>
      </c>
      <c r="E115" s="174">
        <v>5627.62</v>
      </c>
      <c r="F115" s="8">
        <f t="shared" si="14"/>
        <v>3095.1910000000003</v>
      </c>
      <c r="G115" s="9">
        <f t="shared" si="15"/>
        <v>0</v>
      </c>
      <c r="H115" s="52">
        <f t="shared" si="16"/>
        <v>97.096141670000009</v>
      </c>
      <c r="I115" s="11">
        <f t="shared" si="17"/>
        <v>0</v>
      </c>
      <c r="J115" s="11">
        <f t="shared" si="13"/>
        <v>84.808233400000006</v>
      </c>
      <c r="K115" s="11">
        <f t="shared" si="18"/>
        <v>0</v>
      </c>
      <c r="L115" s="11">
        <f t="shared" si="12"/>
        <v>70.570354800000004</v>
      </c>
      <c r="M115" s="11">
        <f t="shared" si="19"/>
        <v>0</v>
      </c>
      <c r="N115" s="11">
        <f t="shared" si="20"/>
        <v>63.141896400000007</v>
      </c>
      <c r="O115" s="11">
        <f t="shared" si="21"/>
        <v>0</v>
      </c>
      <c r="P115" s="11">
        <f t="shared" si="10"/>
        <v>1.7962786208950001</v>
      </c>
      <c r="Q115" s="11">
        <f t="shared" si="11"/>
        <v>0</v>
      </c>
      <c r="R115" s="415"/>
      <c r="S115" s="415"/>
    </row>
    <row r="116" spans="1:19" s="180" customFormat="1" ht="13.5" thickBot="1">
      <c r="A116" s="1328"/>
      <c r="B116" s="416"/>
      <c r="C116" s="891" t="s">
        <v>1138</v>
      </c>
      <c r="D116" s="575" t="s">
        <v>1139</v>
      </c>
      <c r="E116" s="174">
        <v>588.59</v>
      </c>
      <c r="F116" s="8">
        <f t="shared" si="14"/>
        <v>323.72450000000003</v>
      </c>
      <c r="G116" s="9">
        <f t="shared" si="15"/>
        <v>0</v>
      </c>
      <c r="H116" s="52">
        <f t="shared" si="16"/>
        <v>10.155237565000002</v>
      </c>
      <c r="I116" s="11">
        <f t="shared" si="17"/>
        <v>0</v>
      </c>
      <c r="J116" s="11">
        <f t="shared" si="13"/>
        <v>8.8700513000000019</v>
      </c>
      <c r="K116" s="11">
        <f t="shared" si="18"/>
        <v>0</v>
      </c>
      <c r="L116" s="11">
        <f t="shared" si="12"/>
        <v>7.3809186000000011</v>
      </c>
      <c r="M116" s="11">
        <f t="shared" si="19"/>
        <v>0</v>
      </c>
      <c r="N116" s="11">
        <f t="shared" si="20"/>
        <v>6.6039798000000012</v>
      </c>
      <c r="O116" s="11">
        <f t="shared" si="21"/>
        <v>0</v>
      </c>
      <c r="P116" s="11">
        <f t="shared" si="10"/>
        <v>0.18787189495250003</v>
      </c>
      <c r="Q116" s="11">
        <f t="shared" si="11"/>
        <v>0</v>
      </c>
      <c r="R116" s="415"/>
      <c r="S116" s="415"/>
    </row>
    <row r="117" spans="1:19" s="180" customFormat="1" ht="13.5" thickBot="1">
      <c r="A117" s="1328"/>
      <c r="B117" s="416"/>
      <c r="C117" s="532" t="s">
        <v>1142</v>
      </c>
      <c r="D117" s="960" t="s">
        <v>1143</v>
      </c>
      <c r="E117" s="172">
        <v>1883.48</v>
      </c>
      <c r="F117" s="8">
        <f t="shared" si="14"/>
        <v>1035.914</v>
      </c>
      <c r="G117" s="10">
        <f t="shared" si="15"/>
        <v>0</v>
      </c>
      <c r="H117" s="11">
        <f t="shared" si="16"/>
        <v>32.496622180000003</v>
      </c>
      <c r="I117" s="11">
        <f t="shared" si="17"/>
        <v>0</v>
      </c>
      <c r="J117" s="11">
        <f t="shared" si="13"/>
        <v>28.384043600000002</v>
      </c>
      <c r="K117" s="11">
        <f t="shared" si="18"/>
        <v>0</v>
      </c>
      <c r="L117" s="11">
        <f t="shared" si="12"/>
        <v>23.6188392</v>
      </c>
      <c r="M117" s="11">
        <f t="shared" si="19"/>
        <v>0</v>
      </c>
      <c r="N117" s="11">
        <f t="shared" si="20"/>
        <v>21.1326456</v>
      </c>
      <c r="O117" s="11">
        <f t="shared" si="21"/>
        <v>0</v>
      </c>
      <c r="P117" s="11">
        <f t="shared" si="10"/>
        <v>0.60118751033000006</v>
      </c>
      <c r="Q117" s="11">
        <f t="shared" si="11"/>
        <v>0</v>
      </c>
      <c r="R117" s="415"/>
      <c r="S117" s="415"/>
    </row>
    <row r="118" spans="1:19" s="180" customFormat="1" ht="13.5" thickBot="1">
      <c r="A118" s="1328"/>
      <c r="B118" s="416"/>
      <c r="C118" s="891" t="s">
        <v>1321</v>
      </c>
      <c r="D118" s="575" t="s">
        <v>4102</v>
      </c>
      <c r="E118" s="174">
        <v>792.79</v>
      </c>
      <c r="F118" s="8">
        <f t="shared" si="14"/>
        <v>436.03450000000004</v>
      </c>
      <c r="G118" s="10">
        <f t="shared" si="15"/>
        <v>0</v>
      </c>
      <c r="H118" s="11">
        <f t="shared" si="16"/>
        <v>13.678402265000003</v>
      </c>
      <c r="I118" s="11">
        <f t="shared" si="17"/>
        <v>0</v>
      </c>
      <c r="J118" s="11">
        <f t="shared" si="13"/>
        <v>11.947345300000002</v>
      </c>
      <c r="K118" s="11">
        <f t="shared" si="18"/>
        <v>0</v>
      </c>
      <c r="L118" s="11">
        <f t="shared" si="12"/>
        <v>9.9415866000000008</v>
      </c>
      <c r="M118" s="11">
        <f t="shared" si="19"/>
        <v>0</v>
      </c>
      <c r="N118" s="11">
        <f t="shared" si="20"/>
        <v>8.8951038000000011</v>
      </c>
      <c r="O118" s="11">
        <f t="shared" si="21"/>
        <v>0</v>
      </c>
      <c r="P118" s="11">
        <f t="shared" si="10"/>
        <v>0.25305044190250003</v>
      </c>
      <c r="Q118" s="11">
        <f t="shared" si="11"/>
        <v>0</v>
      </c>
      <c r="R118" s="415"/>
      <c r="S118" s="415"/>
    </row>
    <row r="119" spans="1:19" s="180" customFormat="1" ht="13.5" thickBot="1">
      <c r="A119" s="1328"/>
      <c r="B119" s="416"/>
      <c r="C119" s="532" t="s">
        <v>1323</v>
      </c>
      <c r="D119" s="960" t="s">
        <v>1324</v>
      </c>
      <c r="E119" s="172">
        <v>647.45000000000005</v>
      </c>
      <c r="F119" s="8">
        <f t="shared" si="14"/>
        <v>356.09750000000008</v>
      </c>
      <c r="G119" s="10">
        <f t="shared" si="15"/>
        <v>0</v>
      </c>
      <c r="H119" s="11">
        <f t="shared" si="16"/>
        <v>11.170778575000003</v>
      </c>
      <c r="I119" s="11">
        <f t="shared" si="17"/>
        <v>0</v>
      </c>
      <c r="J119" s="11">
        <f t="shared" si="13"/>
        <v>9.7570715000000021</v>
      </c>
      <c r="K119" s="11">
        <f t="shared" si="18"/>
        <v>0</v>
      </c>
      <c r="L119" s="11">
        <f t="shared" si="12"/>
        <v>8.1190230000000021</v>
      </c>
      <c r="M119" s="11">
        <f t="shared" si="19"/>
        <v>0</v>
      </c>
      <c r="N119" s="11">
        <f t="shared" si="20"/>
        <v>7.2643890000000022</v>
      </c>
      <c r="O119" s="11">
        <f t="shared" si="21"/>
        <v>0</v>
      </c>
      <c r="P119" s="11">
        <f t="shared" si="10"/>
        <v>0.20665940363750004</v>
      </c>
      <c r="Q119" s="11">
        <f t="shared" si="11"/>
        <v>0</v>
      </c>
      <c r="R119" s="415"/>
      <c r="S119" s="415"/>
    </row>
    <row r="120" spans="1:19" s="180" customFormat="1" ht="13.5" thickBot="1">
      <c r="A120" s="1328"/>
      <c r="B120" s="416"/>
      <c r="C120" s="532" t="s">
        <v>1325</v>
      </c>
      <c r="D120" s="960" t="s">
        <v>1326</v>
      </c>
      <c r="E120" s="172">
        <v>1017.42</v>
      </c>
      <c r="F120" s="8">
        <f t="shared" si="14"/>
        <v>559.58100000000002</v>
      </c>
      <c r="G120" s="10">
        <f t="shared" si="15"/>
        <v>0</v>
      </c>
      <c r="H120" s="11">
        <f t="shared" si="16"/>
        <v>17.55405597</v>
      </c>
      <c r="I120" s="11">
        <f t="shared" si="17"/>
        <v>0</v>
      </c>
      <c r="J120" s="11">
        <f t="shared" si="13"/>
        <v>15.332519400000001</v>
      </c>
      <c r="K120" s="11">
        <f t="shared" si="18"/>
        <v>0</v>
      </c>
      <c r="L120" s="11">
        <f t="shared" si="12"/>
        <v>12.758446800000002</v>
      </c>
      <c r="M120" s="11">
        <f t="shared" si="19"/>
        <v>0</v>
      </c>
      <c r="N120" s="11">
        <f t="shared" si="20"/>
        <v>11.415452400000001</v>
      </c>
      <c r="O120" s="11">
        <f t="shared" si="21"/>
        <v>0</v>
      </c>
      <c r="P120" s="11">
        <f t="shared" si="10"/>
        <v>0.32475003544499997</v>
      </c>
      <c r="Q120" s="11">
        <f t="shared" si="11"/>
        <v>0</v>
      </c>
      <c r="R120" s="415"/>
      <c r="S120" s="415"/>
    </row>
    <row r="121" spans="1:19" s="180" customFormat="1" ht="13.5" thickBot="1">
      <c r="A121" s="1328"/>
      <c r="B121" s="416"/>
      <c r="C121" s="532" t="s">
        <v>1347</v>
      </c>
      <c r="D121" s="960" t="s">
        <v>1348</v>
      </c>
      <c r="E121" s="172">
        <v>5541.13</v>
      </c>
      <c r="F121" s="8">
        <f t="shared" si="14"/>
        <v>3047.6215000000002</v>
      </c>
      <c r="G121" s="10">
        <f t="shared" si="15"/>
        <v>0</v>
      </c>
      <c r="H121" s="11">
        <f t="shared" si="16"/>
        <v>95.603886455000008</v>
      </c>
      <c r="I121" s="11">
        <f t="shared" si="17"/>
        <v>0</v>
      </c>
      <c r="J121" s="11">
        <f t="shared" si="13"/>
        <v>83.504829100000009</v>
      </c>
      <c r="K121" s="11">
        <f t="shared" si="18"/>
        <v>0</v>
      </c>
      <c r="L121" s="11">
        <f t="shared" si="12"/>
        <v>69.485770200000005</v>
      </c>
      <c r="M121" s="11">
        <f t="shared" si="19"/>
        <v>0</v>
      </c>
      <c r="N121" s="11">
        <f t="shared" si="20"/>
        <v>62.171478600000007</v>
      </c>
      <c r="O121" s="11">
        <f t="shared" si="21"/>
        <v>0</v>
      </c>
      <c r="P121" s="11">
        <f t="shared" si="10"/>
        <v>1.7686718994175001</v>
      </c>
      <c r="Q121" s="11">
        <f t="shared" si="11"/>
        <v>0</v>
      </c>
      <c r="R121" s="415"/>
      <c r="S121" s="415"/>
    </row>
    <row r="122" spans="1:19" s="180" customFormat="1" ht="13.5" thickBot="1">
      <c r="A122" s="1328"/>
      <c r="B122" s="416"/>
      <c r="C122" s="532" t="s">
        <v>1229</v>
      </c>
      <c r="D122" s="960" t="s">
        <v>1230</v>
      </c>
      <c r="E122" s="172">
        <v>4436.03</v>
      </c>
      <c r="F122" s="8">
        <f t="shared" si="14"/>
        <v>2439.8164999999999</v>
      </c>
      <c r="G122" s="10">
        <f t="shared" si="15"/>
        <v>0</v>
      </c>
      <c r="H122" s="11">
        <f t="shared" si="16"/>
        <v>76.537043605000008</v>
      </c>
      <c r="I122" s="11">
        <f t="shared" si="17"/>
        <v>0</v>
      </c>
      <c r="J122" s="11">
        <f t="shared" si="13"/>
        <v>66.850972099999993</v>
      </c>
      <c r="K122" s="11">
        <f t="shared" si="18"/>
        <v>0</v>
      </c>
      <c r="L122" s="11">
        <f t="shared" si="12"/>
        <v>55.627816199999998</v>
      </c>
      <c r="M122" s="11">
        <f t="shared" si="19"/>
        <v>0</v>
      </c>
      <c r="N122" s="11">
        <f t="shared" si="20"/>
        <v>49.772256599999999</v>
      </c>
      <c r="O122" s="11">
        <f t="shared" si="21"/>
        <v>0</v>
      </c>
      <c r="P122" s="11">
        <f t="shared" si="10"/>
        <v>1.4159353066925</v>
      </c>
      <c r="Q122" s="11">
        <f t="shared" si="11"/>
        <v>0</v>
      </c>
      <c r="R122" s="415"/>
      <c r="S122" s="415"/>
    </row>
    <row r="123" spans="1:19" s="180" customFormat="1" ht="13.5" thickBot="1">
      <c r="A123" s="1328"/>
      <c r="B123" s="416"/>
      <c r="C123" s="532" t="s">
        <v>4033</v>
      </c>
      <c r="D123" s="960" t="s">
        <v>4034</v>
      </c>
      <c r="E123" s="172">
        <v>6344.79</v>
      </c>
      <c r="F123" s="8">
        <f t="shared" si="14"/>
        <v>3489.6345000000001</v>
      </c>
      <c r="G123" s="10">
        <f t="shared" si="15"/>
        <v>0</v>
      </c>
      <c r="H123" s="11">
        <f t="shared" si="16"/>
        <v>109.46983426500002</v>
      </c>
      <c r="I123" s="11">
        <f t="shared" si="17"/>
        <v>0</v>
      </c>
      <c r="J123" s="11">
        <f t="shared" si="13"/>
        <v>95.615985300000006</v>
      </c>
      <c r="K123" s="11">
        <f t="shared" si="18"/>
        <v>0</v>
      </c>
      <c r="L123" s="11">
        <f t="shared" si="12"/>
        <v>79.563666600000005</v>
      </c>
      <c r="M123" s="11">
        <f t="shared" si="19"/>
        <v>0</v>
      </c>
      <c r="N123" s="11">
        <f t="shared" si="20"/>
        <v>71.188543800000005</v>
      </c>
      <c r="O123" s="11">
        <f t="shared" si="21"/>
        <v>0</v>
      </c>
      <c r="P123" s="11">
        <f t="shared" si="10"/>
        <v>2.0251919339025002</v>
      </c>
      <c r="Q123" s="11">
        <f t="shared" si="11"/>
        <v>0</v>
      </c>
      <c r="R123" s="415"/>
      <c r="S123" s="415"/>
    </row>
    <row r="124" spans="1:19" s="180" customFormat="1" ht="13.5" thickBot="1">
      <c r="A124" s="1328"/>
      <c r="B124" s="416"/>
      <c r="C124" s="532" t="s">
        <v>1380</v>
      </c>
      <c r="D124" s="960" t="s">
        <v>4103</v>
      </c>
      <c r="E124" s="174">
        <v>1273.27</v>
      </c>
      <c r="F124" s="8">
        <f t="shared" si="14"/>
        <v>700.29849999999999</v>
      </c>
      <c r="G124" s="10">
        <f t="shared" si="15"/>
        <v>0</v>
      </c>
      <c r="H124" s="11">
        <f t="shared" si="16"/>
        <v>21.968363945</v>
      </c>
      <c r="I124" s="11">
        <f t="shared" si="17"/>
        <v>0</v>
      </c>
      <c r="J124" s="11">
        <f t="shared" si="13"/>
        <v>19.1881789</v>
      </c>
      <c r="K124" s="11">
        <f t="shared" si="18"/>
        <v>0</v>
      </c>
      <c r="L124" s="11">
        <f t="shared" si="12"/>
        <v>15.966805799999999</v>
      </c>
      <c r="M124" s="11">
        <f t="shared" si="19"/>
        <v>0</v>
      </c>
      <c r="N124" s="11">
        <f t="shared" si="20"/>
        <v>14.286089400000002</v>
      </c>
      <c r="O124" s="11">
        <f t="shared" si="21"/>
        <v>0</v>
      </c>
      <c r="P124" s="11">
        <f t="shared" si="10"/>
        <v>0.40641473298249997</v>
      </c>
      <c r="Q124" s="11">
        <f t="shared" si="11"/>
        <v>0</v>
      </c>
      <c r="R124" s="415"/>
      <c r="S124" s="415"/>
    </row>
    <row r="125" spans="1:19" s="180" customFormat="1" ht="13.5" thickBot="1">
      <c r="A125" s="1328"/>
      <c r="B125" s="416"/>
      <c r="C125" s="532" t="s">
        <v>1152</v>
      </c>
      <c r="D125" s="960" t="s">
        <v>1231</v>
      </c>
      <c r="E125" s="172">
        <v>5018.6099999999997</v>
      </c>
      <c r="F125" s="8">
        <f t="shared" si="14"/>
        <v>2760.2355000000002</v>
      </c>
      <c r="G125" s="10">
        <f t="shared" si="15"/>
        <v>0</v>
      </c>
      <c r="H125" s="11">
        <f t="shared" si="16"/>
        <v>86.58858763500001</v>
      </c>
      <c r="I125" s="11">
        <f t="shared" si="17"/>
        <v>0</v>
      </c>
      <c r="J125" s="11">
        <f t="shared" si="13"/>
        <v>75.630452700000006</v>
      </c>
      <c r="K125" s="11">
        <f t="shared" si="18"/>
        <v>0</v>
      </c>
      <c r="L125" s="11">
        <f t="shared" si="12"/>
        <v>62.933369400000011</v>
      </c>
      <c r="M125" s="11">
        <f t="shared" si="19"/>
        <v>0</v>
      </c>
      <c r="N125" s="11">
        <f t="shared" si="20"/>
        <v>56.308804200000012</v>
      </c>
      <c r="O125" s="11">
        <f t="shared" si="21"/>
        <v>0</v>
      </c>
      <c r="P125" s="11">
        <f t="shared" si="10"/>
        <v>1.6018888712475001</v>
      </c>
      <c r="Q125" s="11">
        <f t="shared" si="11"/>
        <v>0</v>
      </c>
      <c r="R125" s="415"/>
      <c r="S125" s="415"/>
    </row>
    <row r="126" spans="1:19" s="180" customFormat="1" ht="13.5" thickBot="1">
      <c r="A126" s="1328"/>
      <c r="B126" s="416"/>
      <c r="C126" s="532" t="s">
        <v>1232</v>
      </c>
      <c r="D126" s="960" t="s">
        <v>1233</v>
      </c>
      <c r="E126" s="172">
        <v>59245.59</v>
      </c>
      <c r="F126" s="8">
        <f t="shared" si="14"/>
        <v>32585.074500000002</v>
      </c>
      <c r="G126" s="10">
        <f t="shared" si="15"/>
        <v>0</v>
      </c>
      <c r="H126" s="11">
        <f t="shared" si="16"/>
        <v>1022.1937870650002</v>
      </c>
      <c r="I126" s="11">
        <f t="shared" si="17"/>
        <v>0</v>
      </c>
      <c r="J126" s="11">
        <f t="shared" si="13"/>
        <v>892.83104130000004</v>
      </c>
      <c r="K126" s="11">
        <f t="shared" si="18"/>
        <v>0</v>
      </c>
      <c r="L126" s="11">
        <f t="shared" si="12"/>
        <v>742.93969860000004</v>
      </c>
      <c r="M126" s="11">
        <f t="shared" si="19"/>
        <v>0</v>
      </c>
      <c r="N126" s="11">
        <f t="shared" si="20"/>
        <v>664.73551980000013</v>
      </c>
      <c r="O126" s="11">
        <f t="shared" si="21"/>
        <v>0</v>
      </c>
      <c r="P126" s="11">
        <f t="shared" si="10"/>
        <v>18.910585060702502</v>
      </c>
      <c r="Q126" s="11">
        <f t="shared" si="11"/>
        <v>0</v>
      </c>
      <c r="R126" s="415"/>
      <c r="S126" s="415"/>
    </row>
    <row r="127" spans="1:19" s="180" customFormat="1" ht="13.5" thickBot="1">
      <c r="A127" s="1328"/>
      <c r="B127" s="416"/>
      <c r="C127" s="532" t="s">
        <v>3961</v>
      </c>
      <c r="D127" s="960" t="s">
        <v>1234</v>
      </c>
      <c r="E127" s="172">
        <v>7399.39</v>
      </c>
      <c r="F127" s="8">
        <f t="shared" si="14"/>
        <v>4069.6645000000003</v>
      </c>
      <c r="G127" s="10">
        <f t="shared" si="15"/>
        <v>0</v>
      </c>
      <c r="H127" s="11">
        <f t="shared" si="16"/>
        <v>127.66537536500002</v>
      </c>
      <c r="I127" s="11">
        <f t="shared" si="17"/>
        <v>0</v>
      </c>
      <c r="J127" s="11">
        <f t="shared" si="13"/>
        <v>111.50880730000002</v>
      </c>
      <c r="K127" s="11">
        <f t="shared" si="18"/>
        <v>0</v>
      </c>
      <c r="L127" s="11">
        <f t="shared" si="12"/>
        <v>92.788350600000015</v>
      </c>
      <c r="M127" s="11">
        <f t="shared" si="19"/>
        <v>0</v>
      </c>
      <c r="N127" s="11">
        <f t="shared" si="20"/>
        <v>83.021155800000017</v>
      </c>
      <c r="O127" s="11">
        <f t="shared" si="21"/>
        <v>0</v>
      </c>
      <c r="P127" s="11">
        <f t="shared" si="10"/>
        <v>2.3618094442525002</v>
      </c>
      <c r="Q127" s="11">
        <f t="shared" si="11"/>
        <v>0</v>
      </c>
      <c r="R127" s="415"/>
      <c r="S127" s="415"/>
    </row>
    <row r="128" spans="1:19" s="180" customFormat="1" ht="13.5" thickBot="1">
      <c r="A128" s="1328"/>
      <c r="B128" s="416"/>
      <c r="C128" s="891" t="s">
        <v>1235</v>
      </c>
      <c r="D128" s="575" t="s">
        <v>1381</v>
      </c>
      <c r="E128" s="174">
        <v>5179.58</v>
      </c>
      <c r="F128" s="8">
        <f t="shared" si="14"/>
        <v>2848.7690000000002</v>
      </c>
      <c r="G128" s="10">
        <f t="shared" si="15"/>
        <v>0</v>
      </c>
      <c r="H128" s="11">
        <f t="shared" si="16"/>
        <v>89.365883530000019</v>
      </c>
      <c r="I128" s="11">
        <f t="shared" si="17"/>
        <v>0</v>
      </c>
      <c r="J128" s="11">
        <f t="shared" si="13"/>
        <v>78.056270600000005</v>
      </c>
      <c r="K128" s="11">
        <f t="shared" si="18"/>
        <v>0</v>
      </c>
      <c r="L128" s="11">
        <f t="shared" si="12"/>
        <v>64.951933200000013</v>
      </c>
      <c r="M128" s="11">
        <f t="shared" si="19"/>
        <v>0</v>
      </c>
      <c r="N128" s="11">
        <f t="shared" si="20"/>
        <v>58.11488760000001</v>
      </c>
      <c r="O128" s="11">
        <f t="shared" si="21"/>
        <v>0</v>
      </c>
      <c r="P128" s="11">
        <f t="shared" si="10"/>
        <v>1.6532688453050002</v>
      </c>
      <c r="Q128" s="11">
        <f t="shared" si="11"/>
        <v>0</v>
      </c>
      <c r="R128" s="415"/>
      <c r="S128" s="415"/>
    </row>
    <row r="129" spans="1:19" s="180" customFormat="1" ht="13.5" thickBot="1">
      <c r="A129" s="1328"/>
      <c r="B129" s="416"/>
      <c r="C129" s="532" t="s">
        <v>1382</v>
      </c>
      <c r="D129" s="960" t="s">
        <v>1407</v>
      </c>
      <c r="E129" s="172">
        <v>15347.73</v>
      </c>
      <c r="F129" s="8">
        <f t="shared" si="14"/>
        <v>8441.2515000000003</v>
      </c>
      <c r="G129" s="10">
        <f t="shared" si="15"/>
        <v>0</v>
      </c>
      <c r="H129" s="11">
        <f t="shared" si="16"/>
        <v>264.80205955500003</v>
      </c>
      <c r="I129" s="11">
        <f t="shared" si="17"/>
        <v>0</v>
      </c>
      <c r="J129" s="11">
        <f t="shared" si="13"/>
        <v>231.29029110000002</v>
      </c>
      <c r="K129" s="11">
        <f t="shared" si="18"/>
        <v>0</v>
      </c>
      <c r="L129" s="11">
        <f t="shared" si="12"/>
        <v>192.46053420000001</v>
      </c>
      <c r="M129" s="11">
        <f t="shared" si="19"/>
        <v>0</v>
      </c>
      <c r="N129" s="11">
        <f t="shared" si="20"/>
        <v>172.20153060000001</v>
      </c>
      <c r="O129" s="11">
        <f t="shared" si="21"/>
        <v>0</v>
      </c>
      <c r="P129" s="11">
        <f t="shared" si="10"/>
        <v>4.8988381017675007</v>
      </c>
      <c r="Q129" s="11">
        <f t="shared" si="11"/>
        <v>0</v>
      </c>
      <c r="R129" s="415"/>
      <c r="S129" s="415"/>
    </row>
    <row r="130" spans="1:19" s="180" customFormat="1" ht="13.5" thickBot="1">
      <c r="A130" s="1328"/>
      <c r="B130" s="416"/>
      <c r="C130" s="891" t="s">
        <v>1383</v>
      </c>
      <c r="D130" s="575" t="s">
        <v>1408</v>
      </c>
      <c r="E130" s="174">
        <v>27694.86</v>
      </c>
      <c r="F130" s="8">
        <f t="shared" si="14"/>
        <v>15232.173000000001</v>
      </c>
      <c r="G130" s="9">
        <f t="shared" si="15"/>
        <v>0</v>
      </c>
      <c r="H130" s="52">
        <f t="shared" si="16"/>
        <v>477.83326701000004</v>
      </c>
      <c r="I130" s="11">
        <f t="shared" si="17"/>
        <v>0</v>
      </c>
      <c r="J130" s="11">
        <f t="shared" si="13"/>
        <v>417.36154020000004</v>
      </c>
      <c r="K130" s="11">
        <f t="shared" si="18"/>
        <v>0</v>
      </c>
      <c r="L130" s="11">
        <f t="shared" si="12"/>
        <v>347.29354440000003</v>
      </c>
      <c r="M130" s="11">
        <f t="shared" si="19"/>
        <v>0</v>
      </c>
      <c r="N130" s="11">
        <f t="shared" si="20"/>
        <v>310.73632920000006</v>
      </c>
      <c r="O130" s="11">
        <f t="shared" si="21"/>
        <v>0</v>
      </c>
      <c r="P130" s="11">
        <f t="shared" si="10"/>
        <v>8.8399154396850008</v>
      </c>
      <c r="Q130" s="11">
        <f t="shared" si="11"/>
        <v>0</v>
      </c>
      <c r="R130" s="415"/>
      <c r="S130" s="415"/>
    </row>
    <row r="131" spans="1:19" s="180" customFormat="1" ht="13.5" thickBot="1">
      <c r="A131" s="1328"/>
      <c r="B131" s="416"/>
      <c r="C131" s="891" t="s">
        <v>1384</v>
      </c>
      <c r="D131" s="575" t="s">
        <v>1385</v>
      </c>
      <c r="E131" s="174">
        <v>27853.42</v>
      </c>
      <c r="F131" s="8">
        <f t="shared" si="14"/>
        <v>15319.380999999999</v>
      </c>
      <c r="G131" s="9">
        <f t="shared" si="15"/>
        <v>0</v>
      </c>
      <c r="H131" s="52">
        <f t="shared" si="16"/>
        <v>480.56898197000004</v>
      </c>
      <c r="I131" s="11">
        <f t="shared" si="17"/>
        <v>0</v>
      </c>
      <c r="J131" s="11">
        <f t="shared" si="13"/>
        <v>419.75103939999997</v>
      </c>
      <c r="K131" s="11">
        <f t="shared" si="18"/>
        <v>0</v>
      </c>
      <c r="L131" s="11">
        <f t="shared" si="12"/>
        <v>349.2818868</v>
      </c>
      <c r="M131" s="11">
        <f t="shared" si="19"/>
        <v>0</v>
      </c>
      <c r="N131" s="11">
        <f t="shared" si="20"/>
        <v>312.51537239999999</v>
      </c>
      <c r="O131" s="11">
        <f t="shared" si="21"/>
        <v>0</v>
      </c>
      <c r="P131" s="11">
        <f t="shared" si="10"/>
        <v>8.8905261664449995</v>
      </c>
      <c r="Q131" s="11">
        <f t="shared" si="11"/>
        <v>0</v>
      </c>
      <c r="R131" s="415"/>
      <c r="S131" s="415"/>
    </row>
    <row r="132" spans="1:19" s="180" customFormat="1" ht="13.5" thickBot="1">
      <c r="A132" s="1328"/>
      <c r="B132" s="416"/>
      <c r="C132" s="532" t="s">
        <v>1132</v>
      </c>
      <c r="D132" s="960" t="s">
        <v>1133</v>
      </c>
      <c r="E132" s="172">
        <v>1471.47</v>
      </c>
      <c r="F132" s="8">
        <f t="shared" si="14"/>
        <v>809.30850000000009</v>
      </c>
      <c r="G132" s="9">
        <f t="shared" si="15"/>
        <v>0</v>
      </c>
      <c r="H132" s="52">
        <f t="shared" si="16"/>
        <v>25.388007645000005</v>
      </c>
      <c r="I132" s="11">
        <f t="shared" si="17"/>
        <v>0</v>
      </c>
      <c r="J132" s="11">
        <f t="shared" si="13"/>
        <v>22.175052900000004</v>
      </c>
      <c r="K132" s="11">
        <f t="shared" si="18"/>
        <v>0</v>
      </c>
      <c r="L132" s="11">
        <f t="shared" si="12"/>
        <v>18.452233800000002</v>
      </c>
      <c r="M132" s="11">
        <f t="shared" si="19"/>
        <v>0</v>
      </c>
      <c r="N132" s="11">
        <f t="shared" si="20"/>
        <v>16.509893400000003</v>
      </c>
      <c r="O132" s="11">
        <f t="shared" si="21"/>
        <v>0</v>
      </c>
      <c r="P132" s="11">
        <f t="shared" si="10"/>
        <v>0.46967814143250008</v>
      </c>
      <c r="Q132" s="11">
        <f t="shared" si="11"/>
        <v>0</v>
      </c>
      <c r="R132" s="415"/>
      <c r="S132" s="415"/>
    </row>
    <row r="133" spans="1:19" s="180" customFormat="1" ht="13.5" thickBot="1">
      <c r="A133" s="1328"/>
      <c r="B133" s="416"/>
      <c r="C133" s="532" t="s">
        <v>1150</v>
      </c>
      <c r="D133" s="960" t="s">
        <v>1151</v>
      </c>
      <c r="E133" s="172">
        <v>1103.9100000000001</v>
      </c>
      <c r="F133" s="8">
        <f t="shared" si="14"/>
        <v>607.15050000000008</v>
      </c>
      <c r="G133" s="10">
        <f t="shared" si="15"/>
        <v>0</v>
      </c>
      <c r="H133" s="11">
        <f t="shared" si="16"/>
        <v>19.046311185000004</v>
      </c>
      <c r="I133" s="11">
        <f t="shared" si="17"/>
        <v>0</v>
      </c>
      <c r="J133" s="11">
        <f t="shared" si="13"/>
        <v>16.635923700000003</v>
      </c>
      <c r="K133" s="11">
        <f t="shared" si="18"/>
        <v>0</v>
      </c>
      <c r="L133" s="11">
        <f t="shared" si="12"/>
        <v>13.843031400000003</v>
      </c>
      <c r="M133" s="11">
        <f t="shared" si="19"/>
        <v>0</v>
      </c>
      <c r="N133" s="11">
        <f t="shared" si="20"/>
        <v>12.385870200000003</v>
      </c>
      <c r="O133" s="11">
        <f t="shared" si="21"/>
        <v>0</v>
      </c>
      <c r="P133" s="11">
        <f t="shared" ref="P133:P160" si="22">H133*0.0185</f>
        <v>0.35235675692250007</v>
      </c>
      <c r="Q133" s="11">
        <f t="shared" ref="Q133:Q160" si="23">P133*B133</f>
        <v>0</v>
      </c>
      <c r="R133" s="415"/>
      <c r="S133" s="415"/>
    </row>
    <row r="134" spans="1:19" s="180" customFormat="1" ht="13.5" thickBot="1">
      <c r="A134" s="1328"/>
      <c r="B134" s="416"/>
      <c r="C134" s="891" t="s">
        <v>3966</v>
      </c>
      <c r="D134" s="575" t="s">
        <v>3967</v>
      </c>
      <c r="E134" s="174">
        <v>31146.560000000001</v>
      </c>
      <c r="F134" s="8">
        <f t="shared" si="14"/>
        <v>17130.608000000004</v>
      </c>
      <c r="G134" s="10">
        <f t="shared" si="15"/>
        <v>0</v>
      </c>
      <c r="H134" s="11">
        <f t="shared" si="16"/>
        <v>537.38717296000016</v>
      </c>
      <c r="I134" s="11">
        <f t="shared" si="17"/>
        <v>0</v>
      </c>
      <c r="J134" s="11">
        <f t="shared" si="13"/>
        <v>469.37865920000013</v>
      </c>
      <c r="K134" s="11">
        <f t="shared" si="18"/>
        <v>0</v>
      </c>
      <c r="L134" s="11">
        <f t="shared" si="12"/>
        <v>390.57786240000013</v>
      </c>
      <c r="M134" s="11">
        <f t="shared" si="19"/>
        <v>0</v>
      </c>
      <c r="N134" s="11">
        <f t="shared" si="20"/>
        <v>349.46440320000011</v>
      </c>
      <c r="O134" s="11">
        <f t="shared" si="21"/>
        <v>0</v>
      </c>
      <c r="P134" s="11">
        <f t="shared" si="22"/>
        <v>9.9416626997600019</v>
      </c>
      <c r="Q134" s="11">
        <f t="shared" si="23"/>
        <v>0</v>
      </c>
      <c r="R134" s="415"/>
      <c r="S134" s="415"/>
    </row>
    <row r="135" spans="1:19" s="180" customFormat="1" ht="13.5" thickBot="1">
      <c r="A135" s="1328"/>
      <c r="B135" s="416"/>
      <c r="C135" s="532">
        <v>13200002</v>
      </c>
      <c r="D135" s="960" t="s">
        <v>1240</v>
      </c>
      <c r="E135" s="174">
        <v>663.05</v>
      </c>
      <c r="F135" s="8">
        <f t="shared" si="14"/>
        <v>364.67750000000001</v>
      </c>
      <c r="G135" s="10">
        <f t="shared" si="15"/>
        <v>0</v>
      </c>
      <c r="H135" s="11">
        <f t="shared" si="16"/>
        <v>11.439933175</v>
      </c>
      <c r="I135" s="11">
        <f t="shared" si="17"/>
        <v>0</v>
      </c>
      <c r="J135" s="11">
        <f t="shared" si="13"/>
        <v>9.9921635000000002</v>
      </c>
      <c r="K135" s="11">
        <f t="shared" si="18"/>
        <v>0</v>
      </c>
      <c r="L135" s="11">
        <f t="shared" si="12"/>
        <v>8.3146470000000008</v>
      </c>
      <c r="M135" s="11">
        <f t="shared" si="19"/>
        <v>0</v>
      </c>
      <c r="N135" s="11">
        <f t="shared" si="20"/>
        <v>7.4394210000000003</v>
      </c>
      <c r="O135" s="11">
        <f t="shared" si="21"/>
        <v>0</v>
      </c>
      <c r="P135" s="11">
        <f t="shared" si="22"/>
        <v>0.21163876373749999</v>
      </c>
      <c r="Q135" s="11">
        <f t="shared" si="23"/>
        <v>0</v>
      </c>
      <c r="R135" s="415"/>
      <c r="S135" s="415"/>
    </row>
    <row r="136" spans="1:19" s="180" customFormat="1" ht="13.5" thickBot="1">
      <c r="A136" s="1328"/>
      <c r="B136" s="416"/>
      <c r="C136" s="532" t="s">
        <v>1241</v>
      </c>
      <c r="D136" s="960" t="s">
        <v>1242</v>
      </c>
      <c r="E136" s="172">
        <v>7546.63</v>
      </c>
      <c r="F136" s="8">
        <f t="shared" si="14"/>
        <v>4150.6465000000007</v>
      </c>
      <c r="G136" s="10">
        <f t="shared" si="15"/>
        <v>0</v>
      </c>
      <c r="H136" s="11">
        <f t="shared" si="16"/>
        <v>130.20578070500002</v>
      </c>
      <c r="I136" s="11">
        <f t="shared" si="17"/>
        <v>0</v>
      </c>
      <c r="J136" s="11">
        <f t="shared" si="13"/>
        <v>113.72771410000003</v>
      </c>
      <c r="K136" s="11">
        <f t="shared" si="18"/>
        <v>0</v>
      </c>
      <c r="L136" s="11">
        <f t="shared" ref="L136:L160" si="24">F136*0.0228</f>
        <v>94.634740200000024</v>
      </c>
      <c r="M136" s="11">
        <f t="shared" si="19"/>
        <v>0</v>
      </c>
      <c r="N136" s="11">
        <f t="shared" si="20"/>
        <v>84.673188600000017</v>
      </c>
      <c r="O136" s="11">
        <f t="shared" si="21"/>
        <v>0</v>
      </c>
      <c r="P136" s="11">
        <f t="shared" si="22"/>
        <v>2.4088069430425003</v>
      </c>
      <c r="Q136" s="11">
        <f t="shared" si="23"/>
        <v>0</v>
      </c>
      <c r="R136" s="415"/>
      <c r="S136" s="415"/>
    </row>
    <row r="137" spans="1:19" s="180" customFormat="1" ht="13.5" thickBot="1">
      <c r="A137" s="1328"/>
      <c r="B137" s="416"/>
      <c r="C137" s="532" t="s">
        <v>4016</v>
      </c>
      <c r="D137" s="960" t="s">
        <v>4017</v>
      </c>
      <c r="E137" s="172">
        <v>725.2</v>
      </c>
      <c r="F137" s="8">
        <f t="shared" si="14"/>
        <v>398.86000000000007</v>
      </c>
      <c r="G137" s="10">
        <f t="shared" si="15"/>
        <v>0</v>
      </c>
      <c r="H137" s="11">
        <f t="shared" si="16"/>
        <v>12.512238200000002</v>
      </c>
      <c r="I137" s="11">
        <f t="shared" si="17"/>
        <v>0</v>
      </c>
      <c r="J137" s="11">
        <f t="shared" ref="J137:J160" si="25">F137*0.0274</f>
        <v>10.928764000000003</v>
      </c>
      <c r="K137" s="11">
        <f t="shared" si="18"/>
        <v>0</v>
      </c>
      <c r="L137" s="11">
        <f t="shared" si="24"/>
        <v>9.0940080000000023</v>
      </c>
      <c r="M137" s="11">
        <f t="shared" si="19"/>
        <v>0</v>
      </c>
      <c r="N137" s="11">
        <f t="shared" si="20"/>
        <v>8.136744000000002</v>
      </c>
      <c r="O137" s="11">
        <f t="shared" si="21"/>
        <v>0</v>
      </c>
      <c r="P137" s="11">
        <f t="shared" si="22"/>
        <v>0.23147640670000003</v>
      </c>
      <c r="Q137" s="11">
        <f t="shared" si="23"/>
        <v>0</v>
      </c>
      <c r="R137" s="415"/>
      <c r="S137" s="415"/>
    </row>
    <row r="138" spans="1:19" s="180" customFormat="1" ht="13.5" thickBot="1">
      <c r="A138" s="1328"/>
      <c r="B138" s="416"/>
      <c r="C138" s="796" t="s">
        <v>4018</v>
      </c>
      <c r="D138" s="961" t="s">
        <v>4019</v>
      </c>
      <c r="E138" s="177">
        <v>17592.400000000001</v>
      </c>
      <c r="F138" s="8">
        <f t="shared" si="14"/>
        <v>9675.8200000000015</v>
      </c>
      <c r="G138" s="10">
        <f t="shared" si="15"/>
        <v>0</v>
      </c>
      <c r="H138" s="11">
        <f t="shared" si="16"/>
        <v>303.53047340000006</v>
      </c>
      <c r="I138" s="11">
        <f t="shared" si="17"/>
        <v>0</v>
      </c>
      <c r="J138" s="11">
        <f t="shared" si="25"/>
        <v>265.11746800000003</v>
      </c>
      <c r="K138" s="11">
        <f t="shared" si="18"/>
        <v>0</v>
      </c>
      <c r="L138" s="11">
        <f t="shared" si="24"/>
        <v>220.60869600000004</v>
      </c>
      <c r="M138" s="11">
        <f t="shared" si="19"/>
        <v>0</v>
      </c>
      <c r="N138" s="11">
        <f t="shared" si="20"/>
        <v>197.38672800000003</v>
      </c>
      <c r="O138" s="11">
        <f t="shared" si="21"/>
        <v>0</v>
      </c>
      <c r="P138" s="11">
        <f t="shared" si="22"/>
        <v>5.615313757900001</v>
      </c>
      <c r="Q138" s="11">
        <f t="shared" si="23"/>
        <v>0</v>
      </c>
      <c r="R138" s="415"/>
      <c r="S138" s="415"/>
    </row>
    <row r="139" spans="1:19" s="180" customFormat="1" ht="13.5" thickBot="1">
      <c r="A139" s="1328"/>
      <c r="B139" s="416"/>
      <c r="C139" s="532" t="s">
        <v>1243</v>
      </c>
      <c r="D139" s="960" t="s">
        <v>1244</v>
      </c>
      <c r="E139" s="174">
        <v>51145.96</v>
      </c>
      <c r="F139" s="8">
        <f t="shared" si="14"/>
        <v>28130.278000000002</v>
      </c>
      <c r="G139" s="10">
        <f t="shared" si="15"/>
        <v>0</v>
      </c>
      <c r="H139" s="11">
        <f t="shared" si="16"/>
        <v>882.44682086000012</v>
      </c>
      <c r="I139" s="11">
        <f t="shared" si="17"/>
        <v>0</v>
      </c>
      <c r="J139" s="11">
        <f t="shared" si="25"/>
        <v>770.76961720000008</v>
      </c>
      <c r="K139" s="11">
        <f t="shared" si="18"/>
        <v>0</v>
      </c>
      <c r="L139" s="11">
        <f t="shared" si="24"/>
        <v>641.37033840000004</v>
      </c>
      <c r="M139" s="11">
        <f t="shared" si="19"/>
        <v>0</v>
      </c>
      <c r="N139" s="11">
        <f t="shared" si="20"/>
        <v>573.85767120000003</v>
      </c>
      <c r="O139" s="11">
        <f t="shared" si="21"/>
        <v>0</v>
      </c>
      <c r="P139" s="11">
        <f t="shared" si="22"/>
        <v>16.325266185910003</v>
      </c>
      <c r="Q139" s="11">
        <f t="shared" si="23"/>
        <v>0</v>
      </c>
      <c r="R139" s="415"/>
      <c r="S139" s="415"/>
    </row>
    <row r="140" spans="1:19" s="180" customFormat="1" ht="13.5" thickBot="1">
      <c r="A140" s="1328"/>
      <c r="B140" s="416"/>
      <c r="C140" s="532" t="s">
        <v>3970</v>
      </c>
      <c r="D140" s="960" t="s">
        <v>3971</v>
      </c>
      <c r="E140" s="172">
        <v>26114.75</v>
      </c>
      <c r="F140" s="8">
        <f t="shared" si="14"/>
        <v>14363.112500000001</v>
      </c>
      <c r="G140" s="10">
        <f t="shared" si="15"/>
        <v>0</v>
      </c>
      <c r="H140" s="11">
        <f t="shared" si="16"/>
        <v>450.57083912500008</v>
      </c>
      <c r="I140" s="11">
        <f t="shared" si="17"/>
        <v>0</v>
      </c>
      <c r="J140" s="11">
        <f t="shared" si="25"/>
        <v>393.54928250000006</v>
      </c>
      <c r="K140" s="11">
        <f t="shared" si="18"/>
        <v>0</v>
      </c>
      <c r="L140" s="11">
        <f t="shared" si="24"/>
        <v>327.47896500000002</v>
      </c>
      <c r="M140" s="11">
        <f t="shared" si="19"/>
        <v>0</v>
      </c>
      <c r="N140" s="11">
        <f t="shared" si="20"/>
        <v>293.00749500000006</v>
      </c>
      <c r="O140" s="11">
        <f t="shared" si="21"/>
        <v>0</v>
      </c>
      <c r="P140" s="11">
        <f t="shared" si="22"/>
        <v>8.3355605238125019</v>
      </c>
      <c r="Q140" s="11">
        <f t="shared" si="23"/>
        <v>0</v>
      </c>
      <c r="R140" s="415"/>
      <c r="S140" s="415"/>
    </row>
    <row r="141" spans="1:19" s="180" customFormat="1" ht="13.5" thickBot="1">
      <c r="A141" s="1328"/>
      <c r="B141" s="416"/>
      <c r="C141" s="532">
        <v>13700022</v>
      </c>
      <c r="D141" s="960" t="s">
        <v>1245</v>
      </c>
      <c r="E141" s="172">
        <v>18623.990000000002</v>
      </c>
      <c r="F141" s="8">
        <f t="shared" si="14"/>
        <v>10243.194500000001</v>
      </c>
      <c r="G141" s="10">
        <f t="shared" si="15"/>
        <v>0</v>
      </c>
      <c r="H141" s="11">
        <f t="shared" si="16"/>
        <v>321.32901146500006</v>
      </c>
      <c r="I141" s="11">
        <f t="shared" si="17"/>
        <v>0</v>
      </c>
      <c r="J141" s="11">
        <f t="shared" si="25"/>
        <v>280.66352930000005</v>
      </c>
      <c r="K141" s="11">
        <f t="shared" si="18"/>
        <v>0</v>
      </c>
      <c r="L141" s="11">
        <f t="shared" si="24"/>
        <v>233.54483460000003</v>
      </c>
      <c r="M141" s="11">
        <f t="shared" si="19"/>
        <v>0</v>
      </c>
      <c r="N141" s="11">
        <f t="shared" si="20"/>
        <v>208.96116780000006</v>
      </c>
      <c r="O141" s="11">
        <f t="shared" si="21"/>
        <v>0</v>
      </c>
      <c r="P141" s="11">
        <f t="shared" si="22"/>
        <v>5.9445867121025007</v>
      </c>
      <c r="Q141" s="11">
        <f t="shared" si="23"/>
        <v>0</v>
      </c>
      <c r="R141" s="415"/>
      <c r="S141" s="415"/>
    </row>
    <row r="142" spans="1:19" s="180" customFormat="1" ht="13.5" thickBot="1">
      <c r="A142" s="1328"/>
      <c r="B142" s="416"/>
      <c r="C142" s="532" t="s">
        <v>1249</v>
      </c>
      <c r="D142" s="960" t="s">
        <v>1250</v>
      </c>
      <c r="E142" s="172">
        <v>4733.1899999999996</v>
      </c>
      <c r="F142" s="8">
        <f t="shared" si="14"/>
        <v>2603.2545</v>
      </c>
      <c r="G142" s="10">
        <f t="shared" si="15"/>
        <v>0</v>
      </c>
      <c r="H142" s="11">
        <f t="shared" si="16"/>
        <v>81.66409366500001</v>
      </c>
      <c r="I142" s="11">
        <f t="shared" si="17"/>
        <v>0</v>
      </c>
      <c r="J142" s="11">
        <f t="shared" si="25"/>
        <v>71.329173300000008</v>
      </c>
      <c r="K142" s="11">
        <f t="shared" si="18"/>
        <v>0</v>
      </c>
      <c r="L142" s="11">
        <f t="shared" si="24"/>
        <v>59.354202600000001</v>
      </c>
      <c r="M142" s="11">
        <f t="shared" si="19"/>
        <v>0</v>
      </c>
      <c r="N142" s="11">
        <f t="shared" si="20"/>
        <v>53.106391800000004</v>
      </c>
      <c r="O142" s="11">
        <f t="shared" si="21"/>
        <v>0</v>
      </c>
      <c r="P142" s="11">
        <f t="shared" si="22"/>
        <v>1.5107857328025001</v>
      </c>
      <c r="Q142" s="11">
        <f t="shared" si="23"/>
        <v>0</v>
      </c>
      <c r="R142" s="415"/>
      <c r="S142" s="415"/>
    </row>
    <row r="143" spans="1:19" s="180" customFormat="1" ht="13.5" thickBot="1">
      <c r="A143" s="1328"/>
      <c r="B143" s="416"/>
      <c r="C143" s="532" t="s">
        <v>1146</v>
      </c>
      <c r="D143" s="960" t="s">
        <v>1147</v>
      </c>
      <c r="E143" s="172">
        <v>11627.62</v>
      </c>
      <c r="F143" s="8">
        <f t="shared" si="14"/>
        <v>6395.1910000000007</v>
      </c>
      <c r="G143" s="10">
        <f t="shared" si="15"/>
        <v>0</v>
      </c>
      <c r="H143" s="11">
        <f t="shared" si="16"/>
        <v>200.61714167000002</v>
      </c>
      <c r="I143" s="11">
        <f t="shared" si="17"/>
        <v>0</v>
      </c>
      <c r="J143" s="11">
        <f t="shared" si="25"/>
        <v>175.22823340000002</v>
      </c>
      <c r="K143" s="11">
        <f t="shared" si="18"/>
        <v>0</v>
      </c>
      <c r="L143" s="11">
        <f t="shared" si="24"/>
        <v>145.81035480000003</v>
      </c>
      <c r="M143" s="11">
        <f t="shared" si="19"/>
        <v>0</v>
      </c>
      <c r="N143" s="11">
        <f t="shared" si="20"/>
        <v>130.46189640000003</v>
      </c>
      <c r="O143" s="11">
        <f t="shared" si="21"/>
        <v>0</v>
      </c>
      <c r="P143" s="11">
        <f t="shared" si="22"/>
        <v>3.7114171208950002</v>
      </c>
      <c r="Q143" s="11">
        <f t="shared" si="23"/>
        <v>0</v>
      </c>
      <c r="R143" s="415"/>
      <c r="S143" s="415"/>
    </row>
    <row r="144" spans="1:19" s="180" customFormat="1" ht="13.5" thickBot="1">
      <c r="A144" s="1328"/>
      <c r="B144" s="416"/>
      <c r="C144" s="891" t="s">
        <v>1251</v>
      </c>
      <c r="D144" s="575" t="s">
        <v>1252</v>
      </c>
      <c r="E144" s="174">
        <v>6666.66</v>
      </c>
      <c r="F144" s="8">
        <f t="shared" si="14"/>
        <v>3666.663</v>
      </c>
      <c r="G144" s="10">
        <f t="shared" si="15"/>
        <v>0</v>
      </c>
      <c r="H144" s="11">
        <f t="shared" si="16"/>
        <v>115.02321831</v>
      </c>
      <c r="I144" s="11">
        <f t="shared" si="17"/>
        <v>0</v>
      </c>
      <c r="J144" s="11">
        <f t="shared" si="25"/>
        <v>100.4665662</v>
      </c>
      <c r="K144" s="11">
        <f t="shared" si="18"/>
        <v>0</v>
      </c>
      <c r="L144" s="11">
        <f t="shared" si="24"/>
        <v>83.599916399999998</v>
      </c>
      <c r="M144" s="11">
        <f t="shared" si="19"/>
        <v>0</v>
      </c>
      <c r="N144" s="11">
        <f t="shared" si="20"/>
        <v>74.799925200000004</v>
      </c>
      <c r="O144" s="11">
        <f t="shared" si="21"/>
        <v>0</v>
      </c>
      <c r="P144" s="11">
        <f t="shared" si="22"/>
        <v>2.1279295387350001</v>
      </c>
      <c r="Q144" s="11">
        <f t="shared" si="23"/>
        <v>0</v>
      </c>
      <c r="R144" s="415"/>
      <c r="S144" s="415"/>
    </row>
    <row r="145" spans="1:19" s="180" customFormat="1" ht="13.5" thickBot="1">
      <c r="A145" s="1328"/>
      <c r="B145" s="416"/>
      <c r="C145" s="532" t="s">
        <v>1253</v>
      </c>
      <c r="D145" s="960" t="s">
        <v>1254</v>
      </c>
      <c r="E145" s="172">
        <v>36766.33</v>
      </c>
      <c r="F145" s="8">
        <f t="shared" si="14"/>
        <v>20221.481500000002</v>
      </c>
      <c r="G145" s="9">
        <f t="shared" si="15"/>
        <v>0</v>
      </c>
      <c r="H145" s="52">
        <f t="shared" si="16"/>
        <v>634.34787465500006</v>
      </c>
      <c r="I145" s="11">
        <f t="shared" si="17"/>
        <v>0</v>
      </c>
      <c r="J145" s="11">
        <f t="shared" si="25"/>
        <v>554.06859310000004</v>
      </c>
      <c r="K145" s="11">
        <f t="shared" si="18"/>
        <v>0</v>
      </c>
      <c r="L145" s="11">
        <f t="shared" si="24"/>
        <v>461.04977820000005</v>
      </c>
      <c r="M145" s="11">
        <f t="shared" si="19"/>
        <v>0</v>
      </c>
      <c r="N145" s="11">
        <f t="shared" si="20"/>
        <v>412.51822260000006</v>
      </c>
      <c r="O145" s="11">
        <f t="shared" si="21"/>
        <v>0</v>
      </c>
      <c r="P145" s="11">
        <f t="shared" si="22"/>
        <v>11.735435681117501</v>
      </c>
      <c r="Q145" s="11">
        <f t="shared" si="23"/>
        <v>0</v>
      </c>
      <c r="R145" s="415"/>
      <c r="S145" s="415"/>
    </row>
    <row r="146" spans="1:19" s="180" customFormat="1" ht="13.5" thickBot="1">
      <c r="A146" s="1328"/>
      <c r="B146" s="416"/>
      <c r="C146" s="532" t="s">
        <v>1136</v>
      </c>
      <c r="D146" s="960" t="s">
        <v>1137</v>
      </c>
      <c r="E146" s="172">
        <v>2613.81</v>
      </c>
      <c r="F146" s="8">
        <f t="shared" si="14"/>
        <v>1437.5955000000001</v>
      </c>
      <c r="G146" s="9">
        <f t="shared" si="15"/>
        <v>0</v>
      </c>
      <c r="H146" s="52">
        <f t="shared" si="16"/>
        <v>45.097370835000007</v>
      </c>
      <c r="I146" s="11">
        <f t="shared" si="17"/>
        <v>0</v>
      </c>
      <c r="J146" s="11">
        <f t="shared" si="25"/>
        <v>39.390116700000007</v>
      </c>
      <c r="K146" s="11">
        <f t="shared" si="18"/>
        <v>0</v>
      </c>
      <c r="L146" s="11">
        <f t="shared" si="24"/>
        <v>32.777177400000006</v>
      </c>
      <c r="M146" s="11">
        <f t="shared" si="19"/>
        <v>0</v>
      </c>
      <c r="N146" s="11">
        <f t="shared" si="20"/>
        <v>29.326948200000004</v>
      </c>
      <c r="O146" s="11">
        <f t="shared" si="21"/>
        <v>0</v>
      </c>
      <c r="P146" s="11">
        <f t="shared" si="22"/>
        <v>0.83430136044750003</v>
      </c>
      <c r="Q146" s="11">
        <f t="shared" si="23"/>
        <v>0</v>
      </c>
      <c r="R146" s="415"/>
      <c r="S146" s="415"/>
    </row>
    <row r="147" spans="1:19" s="180" customFormat="1" ht="13.5" thickBot="1">
      <c r="A147" s="1328"/>
      <c r="B147" s="416"/>
      <c r="C147" s="532" t="s">
        <v>1255</v>
      </c>
      <c r="D147" s="960" t="s">
        <v>1256</v>
      </c>
      <c r="E147" s="172">
        <v>21425.81</v>
      </c>
      <c r="F147" s="8">
        <f t="shared" si="14"/>
        <v>11784.195500000002</v>
      </c>
      <c r="G147" s="9">
        <f t="shared" si="15"/>
        <v>0</v>
      </c>
      <c r="H147" s="52">
        <f t="shared" si="16"/>
        <v>369.67021283500009</v>
      </c>
      <c r="I147" s="11">
        <f t="shared" si="17"/>
        <v>0</v>
      </c>
      <c r="J147" s="11">
        <f t="shared" si="25"/>
        <v>322.88695670000004</v>
      </c>
      <c r="K147" s="11">
        <f t="shared" si="18"/>
        <v>0</v>
      </c>
      <c r="L147" s="11">
        <f t="shared" si="24"/>
        <v>268.67965740000005</v>
      </c>
      <c r="M147" s="11">
        <f t="shared" si="19"/>
        <v>0</v>
      </c>
      <c r="N147" s="11">
        <f t="shared" si="20"/>
        <v>240.39758820000006</v>
      </c>
      <c r="O147" s="11">
        <f t="shared" si="21"/>
        <v>0</v>
      </c>
      <c r="P147" s="11">
        <f t="shared" si="22"/>
        <v>6.8388989374475013</v>
      </c>
      <c r="Q147" s="11">
        <f t="shared" si="23"/>
        <v>0</v>
      </c>
      <c r="R147" s="415"/>
      <c r="S147" s="415"/>
    </row>
    <row r="148" spans="1:19" s="180" customFormat="1" ht="13.5" thickBot="1">
      <c r="A148" s="1328"/>
      <c r="B148" s="416"/>
      <c r="C148" s="532" t="s">
        <v>1257</v>
      </c>
      <c r="D148" s="960" t="s">
        <v>1258</v>
      </c>
      <c r="E148" s="174">
        <v>21395.78</v>
      </c>
      <c r="F148" s="8">
        <f t="shared" si="14"/>
        <v>11767.679</v>
      </c>
      <c r="G148" s="9">
        <f t="shared" si="15"/>
        <v>0</v>
      </c>
      <c r="H148" s="52">
        <f t="shared" si="16"/>
        <v>369.15209023</v>
      </c>
      <c r="I148" s="11">
        <f t="shared" si="17"/>
        <v>0</v>
      </c>
      <c r="J148" s="11">
        <f t="shared" si="25"/>
        <v>322.43440459999999</v>
      </c>
      <c r="K148" s="11">
        <f t="shared" si="18"/>
        <v>0</v>
      </c>
      <c r="L148" s="11">
        <f t="shared" si="24"/>
        <v>268.30308120000001</v>
      </c>
      <c r="M148" s="11">
        <f t="shared" si="19"/>
        <v>0</v>
      </c>
      <c r="N148" s="11">
        <f t="shared" si="20"/>
        <v>240.06065160000003</v>
      </c>
      <c r="O148" s="11">
        <f t="shared" si="21"/>
        <v>0</v>
      </c>
      <c r="P148" s="11">
        <f t="shared" si="22"/>
        <v>6.8293136692549998</v>
      </c>
      <c r="Q148" s="11">
        <f t="shared" si="23"/>
        <v>0</v>
      </c>
      <c r="R148" s="415"/>
      <c r="S148" s="415"/>
    </row>
    <row r="149" spans="1:19" s="180" customFormat="1" ht="13.5" thickBot="1">
      <c r="A149" s="1328"/>
      <c r="B149" s="416"/>
      <c r="C149" s="532" t="s">
        <v>1259</v>
      </c>
      <c r="D149" s="960" t="s">
        <v>1260</v>
      </c>
      <c r="E149" s="172">
        <v>6604.8</v>
      </c>
      <c r="F149" s="8">
        <f t="shared" si="14"/>
        <v>3632.6400000000003</v>
      </c>
      <c r="G149" s="9">
        <f t="shared" si="15"/>
        <v>0</v>
      </c>
      <c r="H149" s="52">
        <f t="shared" si="16"/>
        <v>113.95591680000001</v>
      </c>
      <c r="I149" s="11">
        <f t="shared" si="17"/>
        <v>0</v>
      </c>
      <c r="J149" s="11">
        <f t="shared" si="25"/>
        <v>99.53433600000001</v>
      </c>
      <c r="K149" s="11">
        <f t="shared" si="18"/>
        <v>0</v>
      </c>
      <c r="L149" s="11">
        <f t="shared" si="24"/>
        <v>82.824192000000011</v>
      </c>
      <c r="M149" s="11">
        <f t="shared" si="19"/>
        <v>0</v>
      </c>
      <c r="N149" s="11">
        <f t="shared" si="20"/>
        <v>74.105856000000017</v>
      </c>
      <c r="O149" s="11">
        <f t="shared" si="21"/>
        <v>0</v>
      </c>
      <c r="P149" s="11">
        <f t="shared" si="22"/>
        <v>2.1081844608</v>
      </c>
      <c r="Q149" s="11">
        <f t="shared" si="23"/>
        <v>0</v>
      </c>
      <c r="R149" s="415"/>
      <c r="S149" s="415"/>
    </row>
    <row r="150" spans="1:19" s="180" customFormat="1" ht="13.5" thickBot="1">
      <c r="A150" s="1328"/>
      <c r="B150" s="416"/>
      <c r="C150" s="796" t="s">
        <v>1261</v>
      </c>
      <c r="D150" s="961" t="s">
        <v>1262</v>
      </c>
      <c r="E150" s="177">
        <v>20929.71</v>
      </c>
      <c r="F150" s="8">
        <f t="shared" si="14"/>
        <v>11511.3405</v>
      </c>
      <c r="G150" s="9">
        <f t="shared" si="15"/>
        <v>0</v>
      </c>
      <c r="H150" s="52">
        <f t="shared" si="16"/>
        <v>361.11075148500004</v>
      </c>
      <c r="I150" s="11">
        <f t="shared" si="17"/>
        <v>0</v>
      </c>
      <c r="J150" s="11">
        <f t="shared" si="25"/>
        <v>315.41072969999999</v>
      </c>
      <c r="K150" s="11">
        <f t="shared" si="18"/>
        <v>0</v>
      </c>
      <c r="L150" s="11">
        <f t="shared" si="24"/>
        <v>262.4585634</v>
      </c>
      <c r="M150" s="11">
        <f t="shared" si="19"/>
        <v>0</v>
      </c>
      <c r="N150" s="11">
        <f t="shared" si="20"/>
        <v>234.83134620000001</v>
      </c>
      <c r="O150" s="11">
        <f t="shared" si="21"/>
        <v>0</v>
      </c>
      <c r="P150" s="11">
        <f t="shared" si="22"/>
        <v>6.6805489024725002</v>
      </c>
      <c r="Q150" s="11">
        <f t="shared" si="23"/>
        <v>0</v>
      </c>
      <c r="R150" s="415"/>
      <c r="S150" s="415"/>
    </row>
    <row r="151" spans="1:19" s="180" customFormat="1" ht="13.5" thickBot="1">
      <c r="A151" s="1328"/>
      <c r="B151" s="416"/>
      <c r="C151" s="891" t="s">
        <v>3973</v>
      </c>
      <c r="D151" s="575" t="s">
        <v>3974</v>
      </c>
      <c r="E151" s="174">
        <v>6534.53</v>
      </c>
      <c r="F151" s="8">
        <f t="shared" si="14"/>
        <v>3593.9915000000001</v>
      </c>
      <c r="G151" s="9">
        <f t="shared" si="15"/>
        <v>0</v>
      </c>
      <c r="H151" s="52">
        <f t="shared" si="16"/>
        <v>112.743513355</v>
      </c>
      <c r="I151" s="11">
        <f t="shared" si="17"/>
        <v>0</v>
      </c>
      <c r="J151" s="11">
        <f t="shared" si="25"/>
        <v>98.4753671</v>
      </c>
      <c r="K151" s="11">
        <f t="shared" si="18"/>
        <v>0</v>
      </c>
      <c r="L151" s="11">
        <f t="shared" si="24"/>
        <v>81.943006199999999</v>
      </c>
      <c r="M151" s="11">
        <f t="shared" si="19"/>
        <v>0</v>
      </c>
      <c r="N151" s="11">
        <f t="shared" si="20"/>
        <v>73.317426600000005</v>
      </c>
      <c r="O151" s="11">
        <f t="shared" si="21"/>
        <v>0</v>
      </c>
      <c r="P151" s="11">
        <f t="shared" si="22"/>
        <v>2.0857549970674998</v>
      </c>
      <c r="Q151" s="11">
        <f t="shared" si="23"/>
        <v>0</v>
      </c>
      <c r="R151" s="415"/>
      <c r="S151" s="415"/>
    </row>
    <row r="152" spans="1:19" s="180" customFormat="1" ht="13.5" thickBot="1">
      <c r="A152" s="1328"/>
      <c r="B152" s="416"/>
      <c r="C152" s="891" t="s">
        <v>3975</v>
      </c>
      <c r="D152" s="575" t="s">
        <v>3976</v>
      </c>
      <c r="E152" s="174">
        <v>43398.58</v>
      </c>
      <c r="F152" s="8">
        <f t="shared" si="14"/>
        <v>23869.219000000005</v>
      </c>
      <c r="G152" s="9">
        <f t="shared" si="15"/>
        <v>0</v>
      </c>
      <c r="H152" s="52">
        <f t="shared" si="16"/>
        <v>748.77740003000019</v>
      </c>
      <c r="I152" s="11">
        <f t="shared" si="17"/>
        <v>0</v>
      </c>
      <c r="J152" s="11">
        <f t="shared" si="25"/>
        <v>654.01660060000017</v>
      </c>
      <c r="K152" s="11">
        <f t="shared" si="18"/>
        <v>0</v>
      </c>
      <c r="L152" s="11">
        <f t="shared" si="24"/>
        <v>544.21819320000009</v>
      </c>
      <c r="M152" s="11">
        <f t="shared" si="19"/>
        <v>0</v>
      </c>
      <c r="N152" s="11">
        <f t="shared" si="20"/>
        <v>486.93206760000015</v>
      </c>
      <c r="O152" s="11">
        <f t="shared" si="21"/>
        <v>0</v>
      </c>
      <c r="P152" s="11">
        <f t="shared" si="22"/>
        <v>13.852381900555002</v>
      </c>
      <c r="Q152" s="11">
        <f t="shared" si="23"/>
        <v>0</v>
      </c>
      <c r="R152" s="415"/>
      <c r="S152" s="415"/>
    </row>
    <row r="153" spans="1:19" s="180" customFormat="1" ht="13.5" thickBot="1">
      <c r="A153" s="1328"/>
      <c r="B153" s="416"/>
      <c r="C153" s="532" t="s">
        <v>1331</v>
      </c>
      <c r="D153" s="960" t="s">
        <v>4104</v>
      </c>
      <c r="E153" s="172">
        <v>3303.3</v>
      </c>
      <c r="F153" s="8">
        <f t="shared" si="14"/>
        <v>1816.8150000000003</v>
      </c>
      <c r="G153" s="9">
        <f t="shared" si="15"/>
        <v>0</v>
      </c>
      <c r="H153" s="52">
        <f t="shared" si="16"/>
        <v>56.993486550000014</v>
      </c>
      <c r="I153" s="11">
        <f t="shared" si="17"/>
        <v>0</v>
      </c>
      <c r="J153" s="11">
        <f t="shared" si="25"/>
        <v>49.78073100000001</v>
      </c>
      <c r="K153" s="11">
        <f t="shared" si="18"/>
        <v>0</v>
      </c>
      <c r="L153" s="11">
        <f t="shared" si="24"/>
        <v>41.423382000000011</v>
      </c>
      <c r="M153" s="11">
        <f t="shared" si="19"/>
        <v>0</v>
      </c>
      <c r="N153" s="11">
        <f t="shared" si="20"/>
        <v>37.063026000000008</v>
      </c>
      <c r="O153" s="11">
        <f t="shared" si="21"/>
        <v>0</v>
      </c>
      <c r="P153" s="11">
        <f t="shared" si="22"/>
        <v>1.0543795011750001</v>
      </c>
      <c r="Q153" s="11">
        <f t="shared" si="23"/>
        <v>0</v>
      </c>
      <c r="R153" s="415"/>
      <c r="S153" s="415"/>
    </row>
    <row r="154" spans="1:19" s="180" customFormat="1" ht="13.5" thickBot="1">
      <c r="A154" s="1328"/>
      <c r="B154" s="416"/>
      <c r="C154" s="532" t="s">
        <v>1349</v>
      </c>
      <c r="D154" s="960" t="s">
        <v>1386</v>
      </c>
      <c r="E154" s="172">
        <v>1189.19</v>
      </c>
      <c r="F154" s="8">
        <f t="shared" si="14"/>
        <v>654.05450000000008</v>
      </c>
      <c r="G154" s="9">
        <f t="shared" si="15"/>
        <v>0</v>
      </c>
      <c r="H154" s="52">
        <f t="shared" si="16"/>
        <v>20.517689665000002</v>
      </c>
      <c r="I154" s="11">
        <f t="shared" si="17"/>
        <v>0</v>
      </c>
      <c r="J154" s="11">
        <f t="shared" si="25"/>
        <v>17.921093300000003</v>
      </c>
      <c r="K154" s="11">
        <f t="shared" si="18"/>
        <v>0</v>
      </c>
      <c r="L154" s="11">
        <f t="shared" si="24"/>
        <v>14.912442600000002</v>
      </c>
      <c r="M154" s="11">
        <f t="shared" si="19"/>
        <v>0</v>
      </c>
      <c r="N154" s="11">
        <f t="shared" si="20"/>
        <v>13.342711800000002</v>
      </c>
      <c r="O154" s="11">
        <f t="shared" si="21"/>
        <v>0</v>
      </c>
      <c r="P154" s="11">
        <f t="shared" si="22"/>
        <v>0.37957725880250004</v>
      </c>
      <c r="Q154" s="11">
        <f t="shared" si="23"/>
        <v>0</v>
      </c>
      <c r="R154" s="415"/>
      <c r="S154" s="415"/>
    </row>
    <row r="155" spans="1:19" s="180" customFormat="1" ht="13.5" thickBot="1">
      <c r="A155" s="1328"/>
      <c r="B155" s="416"/>
      <c r="C155" s="891" t="s">
        <v>1265</v>
      </c>
      <c r="D155" s="575" t="s">
        <v>1280</v>
      </c>
      <c r="E155" s="174">
        <v>10828.82</v>
      </c>
      <c r="F155" s="8">
        <f t="shared" si="14"/>
        <v>5955.8510000000006</v>
      </c>
      <c r="G155" s="9">
        <f t="shared" si="15"/>
        <v>0</v>
      </c>
      <c r="H155" s="52">
        <f t="shared" si="16"/>
        <v>186.83504587000002</v>
      </c>
      <c r="I155" s="11">
        <f t="shared" si="17"/>
        <v>0</v>
      </c>
      <c r="J155" s="11">
        <f t="shared" si="25"/>
        <v>163.19031740000003</v>
      </c>
      <c r="K155" s="11">
        <f t="shared" si="18"/>
        <v>0</v>
      </c>
      <c r="L155" s="11">
        <f t="shared" si="24"/>
        <v>135.79340280000002</v>
      </c>
      <c r="M155" s="11">
        <f t="shared" si="19"/>
        <v>0</v>
      </c>
      <c r="N155" s="11">
        <f t="shared" si="20"/>
        <v>121.49936040000001</v>
      </c>
      <c r="O155" s="11">
        <f t="shared" si="21"/>
        <v>0</v>
      </c>
      <c r="P155" s="11">
        <f t="shared" si="22"/>
        <v>3.4564483485949999</v>
      </c>
      <c r="Q155" s="11">
        <f t="shared" si="23"/>
        <v>0</v>
      </c>
      <c r="R155" s="415"/>
      <c r="S155" s="415"/>
    </row>
    <row r="156" spans="1:19" s="180" customFormat="1" ht="13.5" thickBot="1">
      <c r="A156" s="1328"/>
      <c r="B156" s="416"/>
      <c r="C156" s="532" t="s">
        <v>1266</v>
      </c>
      <c r="D156" s="960" t="s">
        <v>1267</v>
      </c>
      <c r="E156" s="172">
        <v>5153.1499999999996</v>
      </c>
      <c r="F156" s="8">
        <f t="shared" si="14"/>
        <v>2834.2325000000001</v>
      </c>
      <c r="G156" s="9">
        <f t="shared" si="15"/>
        <v>0</v>
      </c>
      <c r="H156" s="52">
        <f t="shared" si="16"/>
        <v>88.909873525000009</v>
      </c>
      <c r="I156" s="11">
        <f t="shared" si="17"/>
        <v>0</v>
      </c>
      <c r="J156" s="11">
        <f t="shared" si="25"/>
        <v>77.657970500000005</v>
      </c>
      <c r="K156" s="11">
        <f t="shared" si="18"/>
        <v>0</v>
      </c>
      <c r="L156" s="11">
        <f t="shared" si="24"/>
        <v>64.620501000000004</v>
      </c>
      <c r="M156" s="11">
        <f t="shared" si="19"/>
        <v>0</v>
      </c>
      <c r="N156" s="11">
        <f t="shared" si="20"/>
        <v>57.818343000000006</v>
      </c>
      <c r="O156" s="11">
        <f t="shared" si="21"/>
        <v>0</v>
      </c>
      <c r="P156" s="11">
        <f t="shared" si="22"/>
        <v>1.6448326602125001</v>
      </c>
      <c r="Q156" s="11">
        <f t="shared" si="23"/>
        <v>0</v>
      </c>
      <c r="R156" s="415"/>
      <c r="S156" s="415"/>
    </row>
    <row r="157" spans="1:19" s="180" customFormat="1" ht="13.5" thickBot="1">
      <c r="A157" s="1328"/>
      <c r="B157" s="416"/>
      <c r="C157" s="532" t="s">
        <v>1268</v>
      </c>
      <c r="D157" s="960" t="s">
        <v>1269</v>
      </c>
      <c r="E157" s="172">
        <v>24034.82</v>
      </c>
      <c r="F157" s="8">
        <f t="shared" si="14"/>
        <v>13219.151000000002</v>
      </c>
      <c r="G157" s="9">
        <f t="shared" si="15"/>
        <v>0</v>
      </c>
      <c r="H157" s="52">
        <f t="shared" si="16"/>
        <v>414.68476687000009</v>
      </c>
      <c r="I157" s="11">
        <f t="shared" si="17"/>
        <v>0</v>
      </c>
      <c r="J157" s="11">
        <f t="shared" si="25"/>
        <v>362.20473740000006</v>
      </c>
      <c r="K157" s="11">
        <f t="shared" si="18"/>
        <v>0</v>
      </c>
      <c r="L157" s="11">
        <f t="shared" si="24"/>
        <v>301.39664280000005</v>
      </c>
      <c r="M157" s="11">
        <f t="shared" si="19"/>
        <v>0</v>
      </c>
      <c r="N157" s="11">
        <f t="shared" si="20"/>
        <v>269.67068040000004</v>
      </c>
      <c r="O157" s="11">
        <f t="shared" si="21"/>
        <v>0</v>
      </c>
      <c r="P157" s="11">
        <f t="shared" si="22"/>
        <v>7.6716681870950012</v>
      </c>
      <c r="Q157" s="11">
        <f t="shared" si="23"/>
        <v>0</v>
      </c>
      <c r="R157" s="415"/>
      <c r="S157" s="415"/>
    </row>
    <row r="158" spans="1:19" s="180" customFormat="1" ht="13.5" thickBot="1">
      <c r="A158" s="1328"/>
      <c r="B158" s="416"/>
      <c r="C158" s="532" t="s">
        <v>4020</v>
      </c>
      <c r="D158" s="960" t="s">
        <v>1350</v>
      </c>
      <c r="E158" s="172">
        <v>4225.82</v>
      </c>
      <c r="F158" s="8">
        <f t="shared" si="14"/>
        <v>2324.201</v>
      </c>
      <c r="G158" s="9">
        <f t="shared" si="15"/>
        <v>0</v>
      </c>
      <c r="H158" s="52">
        <f>F158*0.03137</f>
        <v>72.910185370000008</v>
      </c>
      <c r="I158" s="11">
        <f t="shared" si="17"/>
        <v>0</v>
      </c>
      <c r="J158" s="11">
        <f t="shared" si="25"/>
        <v>63.683107400000004</v>
      </c>
      <c r="K158" s="11">
        <f t="shared" si="18"/>
        <v>0</v>
      </c>
      <c r="L158" s="11">
        <f t="shared" si="24"/>
        <v>52.991782800000003</v>
      </c>
      <c r="M158" s="11">
        <f t="shared" si="19"/>
        <v>0</v>
      </c>
      <c r="N158" s="11">
        <f>F158*0.0204</f>
        <v>47.413700400000003</v>
      </c>
      <c r="O158" s="11">
        <f t="shared" si="21"/>
        <v>0</v>
      </c>
      <c r="P158" s="11">
        <f t="shared" si="22"/>
        <v>1.348838429345</v>
      </c>
      <c r="Q158" s="11">
        <f t="shared" si="23"/>
        <v>0</v>
      </c>
      <c r="R158" s="415"/>
      <c r="S158" s="415"/>
    </row>
    <row r="159" spans="1:19" s="180" customFormat="1" ht="13.5" thickBot="1">
      <c r="A159" s="1328"/>
      <c r="B159" s="416"/>
      <c r="C159" s="532" t="s">
        <v>1333</v>
      </c>
      <c r="D159" s="960" t="s">
        <v>1334</v>
      </c>
      <c r="E159" s="172">
        <v>1189.19</v>
      </c>
      <c r="F159" s="8">
        <f t="shared" si="14"/>
        <v>654.05450000000008</v>
      </c>
      <c r="G159" s="9">
        <f t="shared" si="15"/>
        <v>0</v>
      </c>
      <c r="H159" s="52">
        <f>F159*0.03137</f>
        <v>20.517689665000002</v>
      </c>
      <c r="I159" s="11">
        <f t="shared" si="17"/>
        <v>0</v>
      </c>
      <c r="J159" s="11">
        <f t="shared" si="25"/>
        <v>17.921093300000003</v>
      </c>
      <c r="K159" s="11">
        <f t="shared" si="18"/>
        <v>0</v>
      </c>
      <c r="L159" s="11">
        <f t="shared" si="24"/>
        <v>14.912442600000002</v>
      </c>
      <c r="M159" s="11">
        <f t="shared" si="19"/>
        <v>0</v>
      </c>
      <c r="N159" s="11">
        <f>F159*0.0204</f>
        <v>13.342711800000002</v>
      </c>
      <c r="O159" s="11">
        <f t="shared" si="21"/>
        <v>0</v>
      </c>
      <c r="P159" s="11">
        <f t="shared" si="22"/>
        <v>0.37957725880250004</v>
      </c>
      <c r="Q159" s="11">
        <f t="shared" si="23"/>
        <v>0</v>
      </c>
      <c r="R159" s="415"/>
      <c r="S159" s="415"/>
    </row>
    <row r="160" spans="1:19" s="180" customFormat="1" ht="13.5" thickBot="1">
      <c r="A160" s="1328"/>
      <c r="B160" s="416"/>
      <c r="C160" s="532" t="s">
        <v>1335</v>
      </c>
      <c r="D160" s="960" t="s">
        <v>1336</v>
      </c>
      <c r="E160" s="172">
        <v>766.36</v>
      </c>
      <c r="F160" s="8">
        <f t="shared" si="14"/>
        <v>421.49800000000005</v>
      </c>
      <c r="G160" s="9">
        <f t="shared" si="15"/>
        <v>0</v>
      </c>
      <c r="H160" s="52">
        <f>F160*0.03137</f>
        <v>13.222392260000003</v>
      </c>
      <c r="I160" s="11">
        <f t="shared" si="17"/>
        <v>0</v>
      </c>
      <c r="J160" s="11">
        <f t="shared" si="25"/>
        <v>11.549045200000002</v>
      </c>
      <c r="K160" s="11">
        <f t="shared" si="18"/>
        <v>0</v>
      </c>
      <c r="L160" s="11">
        <f t="shared" si="24"/>
        <v>9.6101544000000008</v>
      </c>
      <c r="M160" s="11">
        <f t="shared" si="19"/>
        <v>0</v>
      </c>
      <c r="N160" s="11">
        <f>F160*0.0204</f>
        <v>8.5985592000000022</v>
      </c>
      <c r="O160" s="11">
        <f t="shared" si="21"/>
        <v>0</v>
      </c>
      <c r="P160" s="11">
        <f t="shared" si="22"/>
        <v>0.24461425681000004</v>
      </c>
      <c r="Q160" s="11">
        <f t="shared" si="23"/>
        <v>0</v>
      </c>
      <c r="R160" s="415"/>
      <c r="S160" s="415"/>
    </row>
    <row r="161" spans="1:17" s="421" customFormat="1">
      <c r="A161" s="414"/>
      <c r="D161" s="1303" t="s">
        <v>65</v>
      </c>
      <c r="E161" s="1304"/>
      <c r="F161" s="1304"/>
      <c r="G161" s="51">
        <f>SUM(G28:G160)+G25</f>
        <v>0</v>
      </c>
      <c r="H161" s="178" t="s">
        <v>154</v>
      </c>
      <c r="I161" s="51">
        <f>SUM(I28:I160)+I25</f>
        <v>0</v>
      </c>
      <c r="J161" s="178" t="s">
        <v>155</v>
      </c>
      <c r="K161" s="51">
        <f>SUM(K28:K160)+K25</f>
        <v>0</v>
      </c>
      <c r="L161" s="178" t="s">
        <v>156</v>
      </c>
      <c r="M161" s="51">
        <f>SUM(M28:M160)+M25</f>
        <v>0</v>
      </c>
      <c r="N161" s="178" t="s">
        <v>1337</v>
      </c>
      <c r="O161" s="51">
        <f>SUM(O28:O160)+O25</f>
        <v>0</v>
      </c>
      <c r="P161" s="178" t="s">
        <v>1338</v>
      </c>
      <c r="Q161" s="51">
        <f>SUM(Q28:Q160)+Q25</f>
        <v>0</v>
      </c>
    </row>
    <row r="162" spans="1:17" s="421" customFormat="1" ht="12.75">
      <c r="F162" s="330"/>
      <c r="G162" s="330"/>
      <c r="H162" s="423"/>
    </row>
    <row r="163" spans="1:17" s="421" customFormat="1" ht="12.75">
      <c r="F163" s="330"/>
      <c r="G163" s="330"/>
    </row>
    <row r="164" spans="1:17" s="421" customFormat="1" ht="12.75">
      <c r="F164" s="330"/>
      <c r="G164" s="330"/>
    </row>
    <row r="165" spans="1:17" s="421" customFormat="1" ht="12.75">
      <c r="F165" s="330"/>
      <c r="G165" s="330"/>
    </row>
    <row r="166" spans="1:17" s="421" customFormat="1" ht="12.75">
      <c r="F166" s="330"/>
      <c r="G166" s="330"/>
    </row>
    <row r="167" spans="1:17" s="421" customFormat="1" ht="12.75">
      <c r="F167" s="330"/>
      <c r="G167" s="330"/>
    </row>
    <row r="168" spans="1:17" s="421" customFormat="1" ht="12.75">
      <c r="F168" s="330"/>
      <c r="G168" s="330"/>
    </row>
    <row r="169" spans="1:17" s="421" customFormat="1" ht="12.75">
      <c r="F169" s="330"/>
      <c r="G169" s="330"/>
    </row>
    <row r="170" spans="1:17" s="421" customFormat="1" ht="12.75">
      <c r="F170" s="330"/>
      <c r="G170" s="330"/>
    </row>
    <row r="171" spans="1:17" s="421" customFormat="1" ht="12.75">
      <c r="F171" s="330"/>
      <c r="G171" s="330"/>
    </row>
    <row r="172" spans="1:17" s="421" customFormat="1" ht="12.75">
      <c r="F172" s="330"/>
      <c r="G172" s="330"/>
    </row>
    <row r="173" spans="1:17" s="421" customFormat="1" ht="12.75">
      <c r="F173" s="330"/>
      <c r="G173" s="330"/>
    </row>
    <row r="174" spans="1:17" s="421" customFormat="1" ht="12.75">
      <c r="F174" s="330"/>
      <c r="G174" s="330"/>
    </row>
    <row r="175" spans="1:17" s="421" customFormat="1" ht="12.75">
      <c r="F175" s="330"/>
      <c r="G175" s="330"/>
    </row>
    <row r="176" spans="1:17" s="421" customFormat="1" ht="12.75">
      <c r="F176" s="330"/>
      <c r="G176" s="330"/>
    </row>
    <row r="177" spans="2:7" s="421" customFormat="1" ht="12.75">
      <c r="F177" s="330"/>
      <c r="G177" s="330"/>
    </row>
    <row r="178" spans="2:7" s="421" customFormat="1" ht="12.75">
      <c r="B178" s="179"/>
      <c r="C178" s="179"/>
      <c r="F178" s="330"/>
      <c r="G178" s="330"/>
    </row>
    <row r="179" spans="2:7" s="421" customFormat="1" ht="12.75">
      <c r="F179" s="330"/>
      <c r="G179" s="330"/>
    </row>
    <row r="180" spans="2:7" s="421" customFormat="1" ht="12.75">
      <c r="F180" s="330"/>
      <c r="G180" s="330"/>
    </row>
    <row r="181" spans="2:7" s="421" customFormat="1" ht="12.75">
      <c r="F181" s="330"/>
      <c r="G181" s="330"/>
    </row>
    <row r="182" spans="2:7" s="421" customFormat="1" ht="12.75">
      <c r="F182" s="330"/>
      <c r="G182" s="330"/>
    </row>
    <row r="183" spans="2:7" s="421" customFormat="1" ht="12.75">
      <c r="F183" s="330"/>
      <c r="G183" s="330"/>
    </row>
    <row r="184" spans="2:7" s="421" customFormat="1" ht="12.75">
      <c r="F184" s="330"/>
      <c r="G184" s="330"/>
    </row>
    <row r="185" spans="2:7" s="421" customFormat="1" ht="12.75">
      <c r="F185" s="330"/>
      <c r="G185" s="330"/>
    </row>
    <row r="186" spans="2:7" s="421" customFormat="1" ht="12.75">
      <c r="F186" s="330"/>
      <c r="G186" s="330"/>
    </row>
    <row r="187" spans="2:7" s="421" customFormat="1" ht="12.75">
      <c r="F187" s="330"/>
      <c r="G187" s="330"/>
    </row>
    <row r="188" spans="2:7" s="421" customFormat="1" ht="12.75">
      <c r="F188" s="330"/>
      <c r="G188" s="330"/>
    </row>
    <row r="189" spans="2:7" s="421" customFormat="1" ht="12.75">
      <c r="F189" s="330"/>
      <c r="G189" s="330"/>
    </row>
    <row r="190" spans="2:7" s="421" customFormat="1" ht="12.75">
      <c r="F190" s="330"/>
      <c r="G190" s="330"/>
    </row>
    <row r="191" spans="2:7" s="421" customFormat="1" ht="12.75">
      <c r="F191" s="330"/>
      <c r="G191" s="330"/>
    </row>
    <row r="192" spans="2:7" s="421" customFormat="1" ht="12.75">
      <c r="F192" s="330"/>
      <c r="G192" s="330"/>
    </row>
    <row r="193" spans="6:7" s="421" customFormat="1" ht="12.75">
      <c r="F193" s="330"/>
      <c r="G193" s="330"/>
    </row>
    <row r="194" spans="6:7" s="421" customFormat="1" ht="12.75">
      <c r="F194" s="330"/>
      <c r="G194" s="330"/>
    </row>
    <row r="195" spans="6:7" s="421" customFormat="1" ht="12.75">
      <c r="F195" s="330"/>
      <c r="G195" s="330"/>
    </row>
    <row r="196" spans="6:7" s="421" customFormat="1" ht="12.75">
      <c r="F196" s="330"/>
      <c r="G196" s="330"/>
    </row>
    <row r="197" spans="6:7" s="421" customFormat="1" ht="12.75">
      <c r="F197" s="330"/>
      <c r="G197" s="330"/>
    </row>
    <row r="198" spans="6:7" s="421" customFormat="1" ht="12.75">
      <c r="F198" s="330"/>
      <c r="G198" s="330"/>
    </row>
    <row r="199" spans="6:7" s="421" customFormat="1" ht="12.75">
      <c r="F199" s="330"/>
      <c r="G199" s="330"/>
    </row>
    <row r="200" spans="6:7" s="421" customFormat="1" ht="12.75">
      <c r="F200" s="330"/>
      <c r="G200" s="330"/>
    </row>
    <row r="201" spans="6:7" s="421" customFormat="1" ht="12.75">
      <c r="F201" s="330"/>
      <c r="G201" s="330"/>
    </row>
    <row r="202" spans="6:7" s="421" customFormat="1" ht="12.75">
      <c r="F202" s="330"/>
      <c r="G202" s="330"/>
    </row>
    <row r="203" spans="6:7" s="421" customFormat="1" ht="12.75">
      <c r="F203" s="330"/>
      <c r="G203" s="330"/>
    </row>
    <row r="204" spans="6:7" s="421" customFormat="1" ht="12.75">
      <c r="F204" s="330"/>
      <c r="G204" s="330"/>
    </row>
    <row r="205" spans="6:7" s="421" customFormat="1" ht="12.75">
      <c r="F205" s="330"/>
      <c r="G205" s="330"/>
    </row>
    <row r="206" spans="6:7" s="421" customFormat="1" ht="12.75">
      <c r="F206" s="330"/>
      <c r="G206" s="330"/>
    </row>
    <row r="207" spans="6:7" s="421" customFormat="1" ht="12.75">
      <c r="F207" s="330"/>
      <c r="G207" s="330"/>
    </row>
    <row r="208" spans="6:7" s="421" customFormat="1" ht="12.75">
      <c r="F208" s="330"/>
      <c r="G208" s="330"/>
    </row>
    <row r="209" spans="6:7" s="421" customFormat="1" ht="12.75">
      <c r="F209" s="330"/>
      <c r="G209" s="330"/>
    </row>
    <row r="210" spans="6:7" s="421" customFormat="1" ht="12.75">
      <c r="F210" s="330"/>
      <c r="G210" s="330"/>
    </row>
    <row r="211" spans="6:7" s="421" customFormat="1" ht="12.75">
      <c r="F211" s="330"/>
      <c r="G211" s="330"/>
    </row>
    <row r="212" spans="6:7" s="421" customFormat="1" ht="12.75">
      <c r="F212" s="330"/>
      <c r="G212" s="330"/>
    </row>
    <row r="213" spans="6:7" s="421" customFormat="1" ht="12.75">
      <c r="F213" s="330"/>
      <c r="G213" s="330"/>
    </row>
    <row r="214" spans="6:7" s="421" customFormat="1" ht="12.75">
      <c r="F214" s="330"/>
      <c r="G214" s="330"/>
    </row>
    <row r="215" spans="6:7" s="421" customFormat="1" ht="12.75">
      <c r="F215" s="330"/>
      <c r="G215" s="330"/>
    </row>
    <row r="216" spans="6:7" s="421" customFormat="1" ht="12.75">
      <c r="F216" s="330"/>
      <c r="G216" s="330"/>
    </row>
    <row r="217" spans="6:7" s="421" customFormat="1" ht="12.75">
      <c r="F217" s="330"/>
      <c r="G217" s="330"/>
    </row>
    <row r="218" spans="6:7" s="421" customFormat="1" ht="12.75">
      <c r="F218" s="330"/>
      <c r="G218" s="330"/>
    </row>
    <row r="219" spans="6:7" s="421" customFormat="1" ht="12.75">
      <c r="F219" s="330"/>
      <c r="G219" s="330"/>
    </row>
    <row r="220" spans="6:7" s="421" customFormat="1" ht="12.75">
      <c r="F220" s="330"/>
      <c r="G220" s="330"/>
    </row>
    <row r="221" spans="6:7" s="421" customFormat="1" ht="12.75">
      <c r="F221" s="330"/>
      <c r="G221" s="330"/>
    </row>
    <row r="222" spans="6:7" s="421" customFormat="1" ht="12.75">
      <c r="F222" s="330"/>
      <c r="G222" s="330"/>
    </row>
    <row r="223" spans="6:7" s="421" customFormat="1" ht="12.75">
      <c r="F223" s="330"/>
      <c r="G223" s="330"/>
    </row>
    <row r="224" spans="6:7" s="421" customFormat="1" ht="12.75">
      <c r="F224" s="330"/>
      <c r="G224" s="330"/>
    </row>
    <row r="225" spans="6:7" s="421" customFormat="1" ht="12.75">
      <c r="F225" s="330"/>
      <c r="G225" s="330"/>
    </row>
    <row r="226" spans="6:7" s="421" customFormat="1" ht="12.75">
      <c r="F226" s="330"/>
      <c r="G226" s="330"/>
    </row>
    <row r="227" spans="6:7" s="421" customFormat="1" ht="12.75">
      <c r="F227" s="330"/>
      <c r="G227" s="330"/>
    </row>
    <row r="228" spans="6:7" s="421" customFormat="1" ht="12.75">
      <c r="F228" s="330"/>
      <c r="G228" s="330"/>
    </row>
    <row r="229" spans="6:7" s="421" customFormat="1" ht="12.75">
      <c r="F229" s="330"/>
      <c r="G229" s="330"/>
    </row>
    <row r="230" spans="6:7" s="421" customFormat="1" ht="12.75">
      <c r="F230" s="330"/>
      <c r="G230" s="330"/>
    </row>
    <row r="231" spans="6:7" s="421" customFormat="1" ht="12.75">
      <c r="F231" s="330"/>
      <c r="G231" s="330"/>
    </row>
    <row r="232" spans="6:7" s="421" customFormat="1" ht="12.75">
      <c r="F232" s="330"/>
      <c r="G232" s="330"/>
    </row>
    <row r="233" spans="6:7" s="421" customFormat="1" ht="12.75">
      <c r="F233" s="330"/>
      <c r="G233" s="330"/>
    </row>
    <row r="234" spans="6:7" s="421" customFormat="1" ht="12.75">
      <c r="F234" s="330"/>
      <c r="G234" s="330"/>
    </row>
    <row r="235" spans="6:7" s="421" customFormat="1" ht="12.75">
      <c r="F235" s="330"/>
      <c r="G235" s="330"/>
    </row>
    <row r="236" spans="6:7" s="421" customFormat="1" ht="12.75">
      <c r="F236" s="330"/>
      <c r="G236" s="330"/>
    </row>
    <row r="237" spans="6:7" s="421" customFormat="1" ht="12.75">
      <c r="F237" s="330"/>
      <c r="G237" s="330"/>
    </row>
    <row r="238" spans="6:7" s="421" customFormat="1" ht="12.75">
      <c r="F238" s="330"/>
      <c r="G238" s="330"/>
    </row>
    <row r="239" spans="6:7" s="421" customFormat="1" ht="12.75">
      <c r="F239" s="330"/>
      <c r="G239" s="330"/>
    </row>
    <row r="240" spans="6:7" s="421" customFormat="1" ht="12.75">
      <c r="F240" s="330"/>
      <c r="G240" s="330"/>
    </row>
    <row r="241" spans="6:7" s="421" customFormat="1" ht="12.75">
      <c r="F241" s="330"/>
      <c r="G241" s="330"/>
    </row>
    <row r="242" spans="6:7" s="421" customFormat="1" ht="12.75">
      <c r="F242" s="330"/>
      <c r="G242" s="330"/>
    </row>
    <row r="243" spans="6:7" s="421" customFormat="1" ht="12.75">
      <c r="F243" s="330"/>
      <c r="G243" s="330"/>
    </row>
    <row r="244" spans="6:7" s="421" customFormat="1" ht="12.75">
      <c r="F244" s="330"/>
      <c r="G244" s="330"/>
    </row>
    <row r="245" spans="6:7" s="421" customFormat="1" ht="12.75">
      <c r="F245" s="330"/>
      <c r="G245" s="330"/>
    </row>
    <row r="246" spans="6:7" s="421" customFormat="1" ht="12.75">
      <c r="F246" s="330"/>
      <c r="G246" s="330"/>
    </row>
    <row r="247" spans="6:7" s="421" customFormat="1" ht="12.75">
      <c r="F247" s="330"/>
      <c r="G247" s="330"/>
    </row>
    <row r="248" spans="6:7" s="421" customFormat="1" ht="12.75">
      <c r="F248" s="330"/>
      <c r="G248" s="330"/>
    </row>
    <row r="249" spans="6:7" s="421" customFormat="1" ht="12.75">
      <c r="F249" s="330"/>
      <c r="G249" s="330"/>
    </row>
    <row r="250" spans="6:7" s="421" customFormat="1" ht="12.75">
      <c r="F250" s="330"/>
      <c r="G250" s="330"/>
    </row>
    <row r="251" spans="6:7" s="421" customFormat="1" ht="12.75">
      <c r="F251" s="330"/>
      <c r="G251" s="330"/>
    </row>
    <row r="252" spans="6:7" s="421" customFormat="1" ht="12.75">
      <c r="F252" s="330"/>
      <c r="G252" s="330"/>
    </row>
    <row r="253" spans="6:7" s="421" customFormat="1" ht="12.75">
      <c r="F253" s="330"/>
      <c r="G253" s="330"/>
    </row>
    <row r="254" spans="6:7" s="421" customFormat="1" ht="12.75">
      <c r="F254" s="330"/>
      <c r="G254" s="330"/>
    </row>
    <row r="255" spans="6:7" s="421" customFormat="1" ht="12.75">
      <c r="F255" s="330"/>
      <c r="G255" s="330"/>
    </row>
    <row r="256" spans="6:7" s="421" customFormat="1" ht="12.75">
      <c r="F256" s="330"/>
      <c r="G256" s="330"/>
    </row>
    <row r="257" spans="1:17" s="421" customFormat="1" ht="12.75">
      <c r="F257" s="330"/>
      <c r="G257" s="330"/>
    </row>
    <row r="258" spans="1:17" s="421" customFormat="1" ht="12.75">
      <c r="F258" s="330"/>
      <c r="G258" s="330"/>
    </row>
    <row r="259" spans="1:17" s="421" customFormat="1" ht="12.75">
      <c r="F259" s="330"/>
      <c r="G259" s="330"/>
    </row>
    <row r="260" spans="1:17" s="421" customFormat="1" ht="12.75">
      <c r="F260" s="330"/>
      <c r="G260" s="330"/>
    </row>
    <row r="261" spans="1:17" s="421" customFormat="1" ht="12.75">
      <c r="F261" s="330"/>
      <c r="G261" s="330"/>
    </row>
    <row r="262" spans="1:17">
      <c r="A262" s="421"/>
      <c r="B262" s="421"/>
      <c r="C262" s="421"/>
      <c r="D262" s="421"/>
      <c r="E262" s="421"/>
      <c r="F262" s="330"/>
      <c r="G262" s="330"/>
      <c r="H262" s="421"/>
      <c r="I262" s="421"/>
      <c r="J262" s="421"/>
      <c r="K262" s="421"/>
      <c r="L262" s="421"/>
      <c r="M262" s="421"/>
      <c r="N262" s="421"/>
      <c r="O262" s="421"/>
      <c r="P262" s="421"/>
      <c r="Q262" s="421"/>
    </row>
    <row r="263" spans="1:17">
      <c r="A263" s="421"/>
      <c r="B263" s="421"/>
      <c r="C263" s="421"/>
      <c r="D263" s="421"/>
      <c r="E263" s="421"/>
      <c r="F263" s="330"/>
      <c r="G263" s="330"/>
      <c r="H263" s="421"/>
      <c r="I263" s="421"/>
      <c r="J263" s="421"/>
      <c r="K263" s="421"/>
      <c r="L263" s="421"/>
      <c r="M263" s="421"/>
      <c r="N263" s="421"/>
      <c r="O263" s="421"/>
      <c r="P263" s="421"/>
      <c r="Q263" s="421"/>
    </row>
    <row r="264" spans="1:17">
      <c r="A264" s="421"/>
      <c r="B264" s="421"/>
      <c r="C264" s="421"/>
      <c r="D264" s="421"/>
      <c r="E264" s="421"/>
      <c r="F264" s="330"/>
      <c r="G264" s="330"/>
      <c r="I264" s="421"/>
      <c r="J264" s="421"/>
      <c r="K264" s="421"/>
      <c r="L264" s="421"/>
      <c r="M264" s="421"/>
      <c r="N264" s="421"/>
      <c r="O264" s="421"/>
      <c r="P264" s="421"/>
      <c r="Q264" s="421"/>
    </row>
  </sheetData>
  <mergeCells count="18">
    <mergeCell ref="F23:G23"/>
    <mergeCell ref="H23:Q23"/>
    <mergeCell ref="A4:O4"/>
    <mergeCell ref="A5:O5"/>
    <mergeCell ref="F8:I8"/>
    <mergeCell ref="A19:S19"/>
    <mergeCell ref="A20:S20"/>
    <mergeCell ref="O25:O26"/>
    <mergeCell ref="Q25:Q26"/>
    <mergeCell ref="A27:Q27"/>
    <mergeCell ref="A28:A160"/>
    <mergeCell ref="D161:F161"/>
    <mergeCell ref="A25:A26"/>
    <mergeCell ref="B25:B26"/>
    <mergeCell ref="G25:G26"/>
    <mergeCell ref="I25:I26"/>
    <mergeCell ref="K25:K26"/>
    <mergeCell ref="M25:M26"/>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672C-210B-4DB0-B5C5-D1A63D3A23CB}">
  <sheetPr>
    <tabColor indexed="62"/>
  </sheetPr>
  <dimension ref="A1:S263"/>
  <sheetViews>
    <sheetView zoomScale="80" zoomScaleNormal="80" workbookViewId="0">
      <selection activeCell="C27" sqref="C27"/>
    </sheetView>
  </sheetViews>
  <sheetFormatPr defaultColWidth="8.85546875" defaultRowHeight="15.75"/>
  <cols>
    <col min="1" max="1" width="14" style="139" customWidth="1"/>
    <col min="2" max="2" width="8.7109375" style="139" customWidth="1"/>
    <col min="3" max="3" width="21.28515625" style="139" customWidth="1"/>
    <col min="4" max="4" width="42" style="139" customWidth="1"/>
    <col min="5" max="5" width="17" style="139" customWidth="1"/>
    <col min="6" max="6" width="18.28515625" style="333" customWidth="1"/>
    <col min="7" max="7" width="16" style="333"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315" t="s">
        <v>4109</v>
      </c>
      <c r="B4" s="1020"/>
      <c r="C4" s="1020"/>
      <c r="D4" s="1020"/>
      <c r="E4" s="1020"/>
      <c r="F4" s="1020"/>
      <c r="G4" s="1020"/>
      <c r="H4" s="1020"/>
      <c r="I4" s="1020"/>
      <c r="J4" s="1020"/>
      <c r="K4" s="1020"/>
      <c r="L4" s="1020"/>
      <c r="M4" s="1020"/>
      <c r="N4" s="1020"/>
      <c r="O4" s="1020"/>
      <c r="P4" s="256"/>
      <c r="Q4" s="256"/>
    </row>
    <row r="5" spans="1:17" s="149" customFormat="1" ht="46.5" customHeight="1">
      <c r="A5" s="1316" t="s">
        <v>4110</v>
      </c>
      <c r="B5" s="1045"/>
      <c r="C5" s="1045"/>
      <c r="D5" s="1045"/>
      <c r="E5" s="1045"/>
      <c r="F5" s="1045"/>
      <c r="G5" s="1045"/>
      <c r="H5" s="1045"/>
      <c r="I5" s="1045"/>
      <c r="J5" s="1045"/>
      <c r="K5" s="1045"/>
      <c r="L5" s="1045"/>
      <c r="M5" s="1045"/>
      <c r="N5" s="1045"/>
      <c r="O5" s="1045"/>
      <c r="P5" s="266"/>
      <c r="Q5" s="266"/>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9" t="s">
        <v>0</v>
      </c>
      <c r="G8" s="1179"/>
      <c r="H8" s="1179"/>
      <c r="I8" s="1322"/>
      <c r="J8" s="139"/>
      <c r="K8" s="139"/>
      <c r="L8" s="139"/>
    </row>
    <row r="9" spans="1:17" s="148" customFormat="1" ht="14.25">
      <c r="C9" s="270"/>
      <c r="D9" s="265"/>
      <c r="F9" s="270" t="s">
        <v>261</v>
      </c>
      <c r="G9" s="265" t="s">
        <v>1388</v>
      </c>
      <c r="H9" s="157"/>
      <c r="I9" s="158"/>
      <c r="J9" s="159"/>
      <c r="L9" s="159"/>
    </row>
    <row r="10" spans="1:17" s="148" customFormat="1" ht="14.25">
      <c r="C10" s="270"/>
      <c r="D10" s="265"/>
      <c r="F10" s="270" t="s">
        <v>263</v>
      </c>
      <c r="G10" s="265" t="s">
        <v>1389</v>
      </c>
      <c r="H10" s="157"/>
      <c r="I10" s="158"/>
      <c r="J10" s="159"/>
      <c r="L10" s="159"/>
    </row>
    <row r="11" spans="1:17" s="148" customFormat="1" ht="14.25">
      <c r="C11" s="270"/>
      <c r="D11" s="265"/>
      <c r="F11" s="270" t="s">
        <v>265</v>
      </c>
      <c r="G11" s="265" t="s">
        <v>1390</v>
      </c>
      <c r="H11" s="157"/>
      <c r="I11" s="158"/>
      <c r="J11" s="159"/>
      <c r="L11" s="159"/>
    </row>
    <row r="12" spans="1:17" s="148" customFormat="1" ht="14.25">
      <c r="C12" s="270"/>
      <c r="D12" s="265"/>
      <c r="F12" s="270" t="s">
        <v>7</v>
      </c>
      <c r="G12" s="265" t="s">
        <v>1391</v>
      </c>
      <c r="H12" s="157"/>
      <c r="I12" s="158"/>
      <c r="J12" s="159"/>
      <c r="L12" s="159"/>
    </row>
    <row r="13" spans="1:17" s="148" customFormat="1" ht="14.25">
      <c r="C13" s="270"/>
      <c r="D13" s="265"/>
      <c r="E13" s="160"/>
      <c r="F13" s="270" t="s">
        <v>8</v>
      </c>
      <c r="G13" s="265" t="s">
        <v>1392</v>
      </c>
      <c r="H13" s="157"/>
      <c r="I13" s="158"/>
      <c r="J13" s="159"/>
      <c r="L13" s="159"/>
    </row>
    <row r="14" spans="1:17" s="148" customFormat="1" ht="14.25">
      <c r="C14" s="270"/>
      <c r="D14" s="265"/>
      <c r="F14" s="270" t="s">
        <v>10</v>
      </c>
      <c r="G14" s="265" t="s">
        <v>1393</v>
      </c>
      <c r="H14" s="157"/>
      <c r="I14" s="158"/>
      <c r="J14" s="159"/>
      <c r="L14" s="159"/>
    </row>
    <row r="15" spans="1:17" s="148" customFormat="1" ht="14.25">
      <c r="C15" s="270"/>
      <c r="D15" s="265"/>
      <c r="F15" s="270" t="s">
        <v>409</v>
      </c>
      <c r="G15" s="265" t="s">
        <v>1394</v>
      </c>
      <c r="H15" s="157"/>
      <c r="I15" s="158"/>
      <c r="J15" s="159"/>
      <c r="L15" s="159"/>
    </row>
    <row r="16" spans="1:17" s="265" customFormat="1" ht="14.25">
      <c r="C16" s="270"/>
      <c r="F16" s="270" t="s">
        <v>14</v>
      </c>
      <c r="G16" s="265" t="s">
        <v>272</v>
      </c>
      <c r="H16" s="157"/>
      <c r="I16" s="161"/>
    </row>
    <row r="17" spans="1:19" s="265" customFormat="1" ht="14.25">
      <c r="C17" s="270"/>
      <c r="F17" s="270" t="s">
        <v>18</v>
      </c>
      <c r="G17" s="265" t="s">
        <v>1289</v>
      </c>
      <c r="H17" s="157"/>
      <c r="I17" s="161"/>
    </row>
    <row r="18" spans="1:19" s="148" customFormat="1" ht="14.25">
      <c r="C18" s="270"/>
      <c r="D18" s="265"/>
      <c r="F18" s="270" t="s">
        <v>276</v>
      </c>
      <c r="G18" s="265" t="s">
        <v>1395</v>
      </c>
      <c r="H18" s="157"/>
      <c r="I18" s="161"/>
      <c r="J18" s="162"/>
      <c r="L18" s="162"/>
    </row>
    <row r="19" spans="1:19" s="148" customFormat="1" ht="14.25">
      <c r="C19" s="270"/>
      <c r="D19" s="265"/>
      <c r="F19" s="270" t="s">
        <v>26</v>
      </c>
      <c r="G19" s="265" t="s">
        <v>1396</v>
      </c>
      <c r="H19" s="157"/>
      <c r="I19" s="161"/>
      <c r="J19" s="162"/>
      <c r="L19" s="162"/>
    </row>
    <row r="20" spans="1:19" s="148" customFormat="1" ht="14.25">
      <c r="C20" s="270"/>
      <c r="D20" s="278"/>
      <c r="F20" s="270" t="s">
        <v>28</v>
      </c>
      <c r="G20" s="278" t="s">
        <v>1397</v>
      </c>
      <c r="H20" s="157"/>
      <c r="I20" s="157"/>
      <c r="J20" s="162"/>
      <c r="L20" s="162"/>
    </row>
    <row r="21" spans="1:19" s="265" customFormat="1" ht="14.25">
      <c r="A21" s="1179" t="s">
        <v>30</v>
      </c>
      <c r="B21" s="1179"/>
      <c r="C21" s="1179"/>
      <c r="D21" s="1179"/>
      <c r="E21" s="1179"/>
      <c r="F21" s="1179"/>
      <c r="G21" s="1179"/>
      <c r="H21" s="1179"/>
      <c r="I21" s="1179"/>
      <c r="J21" s="1179"/>
      <c r="K21" s="1179"/>
      <c r="L21" s="1179"/>
      <c r="M21" s="1179"/>
      <c r="N21" s="1179"/>
      <c r="O21" s="1179"/>
      <c r="P21" s="1179"/>
      <c r="Q21" s="1179"/>
      <c r="R21" s="1179"/>
      <c r="S21" s="1179"/>
    </row>
    <row r="22" spans="1:19" s="265" customFormat="1" ht="14.25">
      <c r="A22" s="1318" t="s">
        <v>1065</v>
      </c>
      <c r="B22" s="1319"/>
      <c r="C22" s="1319"/>
      <c r="D22" s="1319"/>
      <c r="E22" s="1319"/>
      <c r="F22" s="1319"/>
      <c r="G22" s="1319"/>
      <c r="H22" s="1319"/>
      <c r="I22" s="1319"/>
      <c r="J22" s="1319"/>
      <c r="K22" s="1319"/>
      <c r="L22" s="1319"/>
      <c r="M22" s="1319"/>
      <c r="N22" s="1319"/>
      <c r="O22" s="1319"/>
      <c r="P22" s="1319"/>
      <c r="Q22" s="1319"/>
      <c r="R22" s="1319"/>
      <c r="S22" s="1319"/>
    </row>
    <row r="23" spans="1:19" s="148" customFormat="1" ht="12.75" customHeight="1">
      <c r="B23" s="164"/>
      <c r="C23" s="164"/>
      <c r="D23" s="165"/>
      <c r="E23" s="165"/>
      <c r="F23" s="166"/>
      <c r="G23" s="166"/>
      <c r="I23" s="149"/>
      <c r="J23" s="149"/>
      <c r="K23" s="149"/>
      <c r="L23" s="149"/>
    </row>
    <row r="24" spans="1:19" s="148" customFormat="1" ht="12.75" customHeight="1" thickBot="1">
      <c r="D24" s="165"/>
      <c r="E24" s="165"/>
      <c r="F24" s="166"/>
      <c r="G24" s="166"/>
      <c r="I24" s="167"/>
      <c r="J24" s="167"/>
      <c r="K24" s="167"/>
      <c r="L24" s="167"/>
    </row>
    <row r="25" spans="1:19" s="148" customFormat="1" ht="15.75" customHeight="1" thickBot="1">
      <c r="F25" s="1021" t="s">
        <v>43</v>
      </c>
      <c r="G25" s="1022"/>
      <c r="H25" s="1312" t="s">
        <v>44</v>
      </c>
      <c r="I25" s="1313"/>
      <c r="J25" s="1313"/>
      <c r="K25" s="1313"/>
      <c r="L25" s="1313"/>
      <c r="M25" s="1313"/>
      <c r="N25" s="1313"/>
      <c r="O25" s="1313"/>
      <c r="P25" s="1313"/>
      <c r="Q25" s="1314"/>
    </row>
    <row r="26" spans="1:19" s="170" customFormat="1" ht="63.75" customHeight="1" thickBot="1">
      <c r="A26" s="168" t="s">
        <v>45</v>
      </c>
      <c r="B26" s="168" t="s">
        <v>46</v>
      </c>
      <c r="C26" s="169" t="s">
        <v>47</v>
      </c>
      <c r="D26" s="169" t="s">
        <v>48</v>
      </c>
      <c r="E26" s="169" t="s">
        <v>49</v>
      </c>
      <c r="F26" s="169" t="s">
        <v>50</v>
      </c>
      <c r="G26" s="168" t="s">
        <v>51</v>
      </c>
      <c r="H26" s="169" t="s">
        <v>53</v>
      </c>
      <c r="I26" s="168" t="s">
        <v>51</v>
      </c>
      <c r="J26" s="169" t="s">
        <v>54</v>
      </c>
      <c r="K26" s="168" t="s">
        <v>51</v>
      </c>
      <c r="L26" s="169" t="s">
        <v>55</v>
      </c>
      <c r="M26" s="168" t="s">
        <v>51</v>
      </c>
      <c r="N26" s="169" t="s">
        <v>847</v>
      </c>
      <c r="O26" s="168" t="s">
        <v>51</v>
      </c>
      <c r="P26" s="169" t="s">
        <v>848</v>
      </c>
      <c r="Q26" s="168" t="s">
        <v>51</v>
      </c>
    </row>
    <row r="27" spans="1:19" s="171" customFormat="1" ht="26.25" customHeight="1" thickBot="1">
      <c r="A27" s="1306" t="s">
        <v>1293</v>
      </c>
      <c r="B27" s="1308"/>
      <c r="C27" s="956" t="s">
        <v>4107</v>
      </c>
      <c r="D27" s="957" t="s">
        <v>4108</v>
      </c>
      <c r="E27" s="958">
        <v>336934.41</v>
      </c>
      <c r="F27" s="28">
        <f>SUM(E27:E28)*(1-51.6%)</f>
        <v>163201.61043999999</v>
      </c>
      <c r="G27" s="1011">
        <f>F27*B27</f>
        <v>0</v>
      </c>
      <c r="H27" s="29">
        <f>F27*0.03137</f>
        <v>5119.6345195027998</v>
      </c>
      <c r="I27" s="1011">
        <f>H27*B27</f>
        <v>0</v>
      </c>
      <c r="J27" s="29">
        <f>F27*0.0274</f>
        <v>4471.7241260559995</v>
      </c>
      <c r="K27" s="1011">
        <f>J27*B27</f>
        <v>0</v>
      </c>
      <c r="L27" s="410">
        <f>F27*0.0228</f>
        <v>3720.996718032</v>
      </c>
      <c r="M27" s="1011">
        <f>L27*B27</f>
        <v>0</v>
      </c>
      <c r="N27" s="410">
        <f>F27*0.0204</f>
        <v>3329.3128529760002</v>
      </c>
      <c r="O27" s="1011">
        <f>N27*B27</f>
        <v>0</v>
      </c>
      <c r="P27" s="410">
        <f>F27*0.0185</f>
        <v>3019.2297931399999</v>
      </c>
      <c r="Q27" s="1011">
        <f>P27*B27</f>
        <v>0</v>
      </c>
    </row>
    <row r="28" spans="1:19" s="180" customFormat="1" ht="13.5" customHeight="1" thickBot="1">
      <c r="A28" s="1307"/>
      <c r="B28" s="1309"/>
      <c r="C28" s="411" t="s">
        <v>424</v>
      </c>
      <c r="D28" s="412" t="s">
        <v>57</v>
      </c>
      <c r="E28" s="413">
        <v>259</v>
      </c>
      <c r="F28" s="737" t="s">
        <v>35</v>
      </c>
      <c r="G28" s="1310"/>
      <c r="H28" s="306" t="s">
        <v>35</v>
      </c>
      <c r="I28" s="1310"/>
      <c r="J28" s="306" t="s">
        <v>35</v>
      </c>
      <c r="K28" s="1310"/>
      <c r="L28" s="301" t="s">
        <v>35</v>
      </c>
      <c r="M28" s="1311"/>
      <c r="N28" s="301" t="s">
        <v>35</v>
      </c>
      <c r="O28" s="1299"/>
      <c r="P28" s="301" t="s">
        <v>35</v>
      </c>
      <c r="Q28" s="1299"/>
    </row>
    <row r="29" spans="1:19" s="180" customFormat="1" ht="12.6" customHeight="1" thickBot="1">
      <c r="A29" s="1300" t="s">
        <v>59</v>
      </c>
      <c r="B29" s="1301"/>
      <c r="C29" s="1301"/>
      <c r="D29" s="1301"/>
      <c r="E29" s="1301"/>
      <c r="F29" s="1301"/>
      <c r="G29" s="1301"/>
      <c r="H29" s="1301"/>
      <c r="I29" s="1301"/>
      <c r="J29" s="1301"/>
      <c r="K29" s="1301"/>
      <c r="L29" s="1301"/>
      <c r="M29" s="1301"/>
      <c r="N29" s="1301"/>
      <c r="O29" s="1301"/>
      <c r="P29" s="1301"/>
      <c r="Q29" s="1302"/>
      <c r="R29" s="415"/>
      <c r="S29" s="415"/>
    </row>
    <row r="30" spans="1:19" s="180" customFormat="1" ht="13.5" thickBot="1">
      <c r="A30" s="1327"/>
      <c r="B30" s="431"/>
      <c r="C30" s="800" t="s">
        <v>1398</v>
      </c>
      <c r="D30" s="949" t="s">
        <v>4002</v>
      </c>
      <c r="E30" s="962">
        <v>3439.8</v>
      </c>
      <c r="F30" s="434">
        <f t="shared" ref="F30:F103" si="0">E30*(1-45%)</f>
        <v>1891.8900000000003</v>
      </c>
      <c r="G30" s="10">
        <f t="shared" ref="G30:G103" si="1">F30*B30</f>
        <v>0</v>
      </c>
      <c r="H30" s="11">
        <f t="shared" ref="H30:H103" si="2">F30*0.03137</f>
        <v>59.348589300000015</v>
      </c>
      <c r="I30" s="11">
        <f t="shared" ref="I30:I103" si="3">H30*B30</f>
        <v>0</v>
      </c>
      <c r="J30" s="11">
        <f t="shared" ref="J30:J103" si="4">F30*0.0274</f>
        <v>51.837786000000008</v>
      </c>
      <c r="K30" s="11">
        <f t="shared" ref="K30:K103" si="5">J30*B30</f>
        <v>0</v>
      </c>
      <c r="L30" s="11">
        <f t="shared" ref="L30:L103" si="6">F30*0.0228</f>
        <v>43.135092000000007</v>
      </c>
      <c r="M30" s="11">
        <f t="shared" ref="M30:M103" si="7">L30*B30</f>
        <v>0</v>
      </c>
      <c r="N30" s="11">
        <f t="shared" ref="N30:N103" si="8">F30*0.0204</f>
        <v>38.594556000000011</v>
      </c>
      <c r="O30" s="11">
        <f t="shared" ref="O30:O103" si="9">N30*B30</f>
        <v>0</v>
      </c>
      <c r="P30" s="11">
        <f t="shared" ref="P30:P103" si="10">H30*0.0185</f>
        <v>1.0979489020500002</v>
      </c>
      <c r="Q30" s="11">
        <f t="shared" ref="Q30:Q103" si="11">P30*B30</f>
        <v>0</v>
      </c>
      <c r="R30" s="415"/>
      <c r="S30" s="415"/>
    </row>
    <row r="31" spans="1:19" s="180" customFormat="1" ht="13.5" thickBot="1">
      <c r="A31" s="1328"/>
      <c r="B31" s="416"/>
      <c r="C31" s="797" t="s">
        <v>1177</v>
      </c>
      <c r="D31" s="960" t="s">
        <v>3979</v>
      </c>
      <c r="E31" s="172">
        <v>499</v>
      </c>
      <c r="F31" s="8">
        <f t="shared" si="0"/>
        <v>274.45000000000005</v>
      </c>
      <c r="G31" s="9">
        <f t="shared" si="1"/>
        <v>0</v>
      </c>
      <c r="H31" s="52">
        <f t="shared" si="2"/>
        <v>8.6094965000000023</v>
      </c>
      <c r="I31" s="11">
        <f t="shared" si="3"/>
        <v>0</v>
      </c>
      <c r="J31" s="11">
        <f t="shared" si="4"/>
        <v>7.5199300000000013</v>
      </c>
      <c r="K31" s="11">
        <f t="shared" si="5"/>
        <v>0</v>
      </c>
      <c r="L31" s="11">
        <f t="shared" si="6"/>
        <v>6.2574600000000009</v>
      </c>
      <c r="M31" s="11">
        <f t="shared" si="7"/>
        <v>0</v>
      </c>
      <c r="N31" s="11">
        <f t="shared" si="8"/>
        <v>5.5987800000000014</v>
      </c>
      <c r="O31" s="11">
        <f t="shared" si="9"/>
        <v>0</v>
      </c>
      <c r="P31" s="11">
        <f t="shared" si="10"/>
        <v>0.15927568525000005</v>
      </c>
      <c r="Q31" s="11">
        <f t="shared" si="11"/>
        <v>0</v>
      </c>
      <c r="R31" s="415"/>
      <c r="S31" s="415"/>
    </row>
    <row r="32" spans="1:19" s="180" customFormat="1" ht="13.5" thickBot="1">
      <c r="A32" s="1328"/>
      <c r="B32" s="416"/>
      <c r="C32" s="797" t="s">
        <v>4022</v>
      </c>
      <c r="D32" s="960" t="s">
        <v>4023</v>
      </c>
      <c r="E32" s="172">
        <v>1945</v>
      </c>
      <c r="F32" s="8">
        <f t="shared" si="0"/>
        <v>1069.75</v>
      </c>
      <c r="G32" s="9">
        <f t="shared" si="1"/>
        <v>0</v>
      </c>
      <c r="H32" s="52">
        <f t="shared" si="2"/>
        <v>33.558057500000004</v>
      </c>
      <c r="I32" s="11">
        <f t="shared" si="3"/>
        <v>0</v>
      </c>
      <c r="J32" s="11">
        <f t="shared" si="4"/>
        <v>29.311150000000001</v>
      </c>
      <c r="K32" s="11">
        <f t="shared" si="5"/>
        <v>0</v>
      </c>
      <c r="L32" s="11">
        <f t="shared" si="6"/>
        <v>24.3903</v>
      </c>
      <c r="M32" s="11">
        <f t="shared" si="7"/>
        <v>0</v>
      </c>
      <c r="N32" s="11">
        <f t="shared" si="8"/>
        <v>21.822900000000001</v>
      </c>
      <c r="O32" s="11">
        <f t="shared" si="9"/>
        <v>0</v>
      </c>
      <c r="P32" s="11">
        <f t="shared" si="10"/>
        <v>0.62082406374999999</v>
      </c>
      <c r="Q32" s="11">
        <f t="shared" si="11"/>
        <v>0</v>
      </c>
      <c r="R32" s="415"/>
      <c r="S32" s="415"/>
    </row>
    <row r="33" spans="1:19" s="180" customFormat="1" ht="13.5" thickBot="1">
      <c r="A33" s="1328"/>
      <c r="B33" s="416"/>
      <c r="C33" s="173" t="s">
        <v>4024</v>
      </c>
      <c r="D33" s="960" t="s">
        <v>4025</v>
      </c>
      <c r="E33" s="172">
        <v>5708.58</v>
      </c>
      <c r="F33" s="8">
        <f t="shared" si="0"/>
        <v>3139.7190000000001</v>
      </c>
      <c r="G33" s="9">
        <f t="shared" si="1"/>
        <v>0</v>
      </c>
      <c r="H33" s="52">
        <f t="shared" si="2"/>
        <v>98.492985030000014</v>
      </c>
      <c r="I33" s="11">
        <f t="shared" si="3"/>
        <v>0</v>
      </c>
      <c r="J33" s="11">
        <f t="shared" si="4"/>
        <v>86.028300600000009</v>
      </c>
      <c r="K33" s="11">
        <f t="shared" si="5"/>
        <v>0</v>
      </c>
      <c r="L33" s="11">
        <f t="shared" si="6"/>
        <v>71.585593200000005</v>
      </c>
      <c r="M33" s="11">
        <f t="shared" si="7"/>
        <v>0</v>
      </c>
      <c r="N33" s="11">
        <f t="shared" si="8"/>
        <v>64.050267600000012</v>
      </c>
      <c r="O33" s="11">
        <f t="shared" si="9"/>
        <v>0</v>
      </c>
      <c r="P33" s="11">
        <f t="shared" si="10"/>
        <v>1.8221202230550002</v>
      </c>
      <c r="Q33" s="11">
        <f t="shared" si="11"/>
        <v>0</v>
      </c>
      <c r="R33" s="415"/>
      <c r="S33" s="415"/>
    </row>
    <row r="34" spans="1:19" s="180" customFormat="1" ht="13.5" thickBot="1">
      <c r="A34" s="1328"/>
      <c r="B34" s="416"/>
      <c r="C34" s="173" t="s">
        <v>3980</v>
      </c>
      <c r="D34" s="960" t="s">
        <v>3981</v>
      </c>
      <c r="E34" s="172">
        <v>5000</v>
      </c>
      <c r="F34" s="8">
        <f t="shared" si="0"/>
        <v>2750</v>
      </c>
      <c r="G34" s="9">
        <f t="shared" si="1"/>
        <v>0</v>
      </c>
      <c r="H34" s="52">
        <f t="shared" si="2"/>
        <v>86.267500000000013</v>
      </c>
      <c r="I34" s="11">
        <f t="shared" si="3"/>
        <v>0</v>
      </c>
      <c r="J34" s="11">
        <f t="shared" si="4"/>
        <v>75.350000000000009</v>
      </c>
      <c r="K34" s="11">
        <f t="shared" si="5"/>
        <v>0</v>
      </c>
      <c r="L34" s="11">
        <f t="shared" si="6"/>
        <v>62.7</v>
      </c>
      <c r="M34" s="11">
        <f t="shared" si="7"/>
        <v>0</v>
      </c>
      <c r="N34" s="11">
        <f t="shared" si="8"/>
        <v>56.1</v>
      </c>
      <c r="O34" s="11">
        <f t="shared" si="9"/>
        <v>0</v>
      </c>
      <c r="P34" s="11">
        <f t="shared" si="10"/>
        <v>1.5959487500000002</v>
      </c>
      <c r="Q34" s="11">
        <f t="shared" si="11"/>
        <v>0</v>
      </c>
      <c r="R34" s="415"/>
      <c r="S34" s="415"/>
    </row>
    <row r="35" spans="1:19" s="180" customFormat="1" ht="13.5" thickBot="1">
      <c r="A35" s="1328"/>
      <c r="B35" s="416"/>
      <c r="C35" s="173" t="s">
        <v>4111</v>
      </c>
      <c r="D35" s="960" t="s">
        <v>4112</v>
      </c>
      <c r="E35" s="172">
        <v>19037.900000000001</v>
      </c>
      <c r="F35" s="8">
        <f t="shared" si="0"/>
        <v>10470.845000000001</v>
      </c>
      <c r="G35" s="9">
        <f t="shared" si="1"/>
        <v>0</v>
      </c>
      <c r="H35" s="52">
        <f t="shared" si="2"/>
        <v>328.47040765000008</v>
      </c>
      <c r="I35" s="11">
        <f t="shared" si="3"/>
        <v>0</v>
      </c>
      <c r="J35" s="11">
        <f t="shared" si="4"/>
        <v>286.90115300000002</v>
      </c>
      <c r="K35" s="11">
        <f t="shared" si="5"/>
        <v>0</v>
      </c>
      <c r="L35" s="11">
        <f t="shared" si="6"/>
        <v>238.73526600000002</v>
      </c>
      <c r="M35" s="11">
        <f t="shared" si="7"/>
        <v>0</v>
      </c>
      <c r="N35" s="11">
        <f t="shared" si="8"/>
        <v>213.60523800000004</v>
      </c>
      <c r="O35" s="11">
        <f t="shared" si="9"/>
        <v>0</v>
      </c>
      <c r="P35" s="11">
        <f t="shared" si="10"/>
        <v>6.0767025415250009</v>
      </c>
      <c r="Q35" s="11">
        <f t="shared" si="11"/>
        <v>0</v>
      </c>
      <c r="R35" s="415"/>
      <c r="S35" s="415"/>
    </row>
    <row r="36" spans="1:19" s="180" customFormat="1" ht="13.5" thickBot="1">
      <c r="A36" s="1328"/>
      <c r="B36" s="416"/>
      <c r="C36" s="297" t="s">
        <v>105</v>
      </c>
      <c r="D36" s="575" t="s">
        <v>325</v>
      </c>
      <c r="E36" s="177">
        <v>399</v>
      </c>
      <c r="F36" s="8">
        <f t="shared" si="0"/>
        <v>219.45000000000002</v>
      </c>
      <c r="G36" s="9">
        <f t="shared" si="1"/>
        <v>0</v>
      </c>
      <c r="H36" s="52">
        <f t="shared" si="2"/>
        <v>6.8841465000000008</v>
      </c>
      <c r="I36" s="11">
        <f t="shared" si="3"/>
        <v>0</v>
      </c>
      <c r="J36" s="11">
        <f t="shared" si="4"/>
        <v>6.0129300000000008</v>
      </c>
      <c r="K36" s="11">
        <f t="shared" si="5"/>
        <v>0</v>
      </c>
      <c r="L36" s="11">
        <f t="shared" si="6"/>
        <v>5.0034600000000005</v>
      </c>
      <c r="M36" s="11">
        <f t="shared" si="7"/>
        <v>0</v>
      </c>
      <c r="N36" s="11">
        <f t="shared" si="8"/>
        <v>4.4767800000000006</v>
      </c>
      <c r="O36" s="11">
        <f t="shared" si="9"/>
        <v>0</v>
      </c>
      <c r="P36" s="11">
        <f t="shared" si="10"/>
        <v>0.12735671025</v>
      </c>
      <c r="Q36" s="11">
        <f t="shared" si="11"/>
        <v>0</v>
      </c>
      <c r="R36" s="415"/>
      <c r="S36" s="415"/>
    </row>
    <row r="37" spans="1:19" s="180" customFormat="1" ht="13.5" thickBot="1">
      <c r="A37" s="1328"/>
      <c r="B37" s="416"/>
      <c r="C37" s="297" t="s">
        <v>3982</v>
      </c>
      <c r="D37" s="575" t="s">
        <v>3983</v>
      </c>
      <c r="E37" s="177">
        <v>2800</v>
      </c>
      <c r="F37" s="8">
        <f t="shared" si="0"/>
        <v>1540.0000000000002</v>
      </c>
      <c r="G37" s="10">
        <f t="shared" si="1"/>
        <v>0</v>
      </c>
      <c r="H37" s="11">
        <f t="shared" si="2"/>
        <v>48.30980000000001</v>
      </c>
      <c r="I37" s="11">
        <f t="shared" si="3"/>
        <v>0</v>
      </c>
      <c r="J37" s="11">
        <f t="shared" si="4"/>
        <v>42.196000000000005</v>
      </c>
      <c r="K37" s="11">
        <f t="shared" si="5"/>
        <v>0</v>
      </c>
      <c r="L37" s="11">
        <f t="shared" si="6"/>
        <v>35.112000000000009</v>
      </c>
      <c r="M37" s="11">
        <f t="shared" si="7"/>
        <v>0</v>
      </c>
      <c r="N37" s="11">
        <f t="shared" si="8"/>
        <v>31.416000000000007</v>
      </c>
      <c r="O37" s="11">
        <f t="shared" si="9"/>
        <v>0</v>
      </c>
      <c r="P37" s="11">
        <f t="shared" si="10"/>
        <v>0.89373130000000012</v>
      </c>
      <c r="Q37" s="11">
        <f t="shared" si="11"/>
        <v>0</v>
      </c>
      <c r="R37" s="415"/>
      <c r="S37" s="415"/>
    </row>
    <row r="38" spans="1:19" s="180" customFormat="1" ht="13.5" thickBot="1">
      <c r="A38" s="1328"/>
      <c r="B38" s="416"/>
      <c r="C38" s="297" t="s">
        <v>1399</v>
      </c>
      <c r="D38" s="575" t="s">
        <v>4036</v>
      </c>
      <c r="E38" s="177">
        <v>3691.29</v>
      </c>
      <c r="F38" s="8">
        <f t="shared" si="0"/>
        <v>2030.2095000000002</v>
      </c>
      <c r="G38" s="9">
        <f t="shared" si="1"/>
        <v>0</v>
      </c>
      <c r="H38" s="52">
        <f t="shared" si="2"/>
        <v>63.687672015000011</v>
      </c>
      <c r="I38" s="11">
        <f t="shared" si="3"/>
        <v>0</v>
      </c>
      <c r="J38" s="11">
        <f t="shared" si="4"/>
        <v>55.627740300000006</v>
      </c>
      <c r="K38" s="11">
        <f t="shared" si="5"/>
        <v>0</v>
      </c>
      <c r="L38" s="11">
        <f t="shared" si="6"/>
        <v>46.288776600000006</v>
      </c>
      <c r="M38" s="11">
        <f t="shared" si="7"/>
        <v>0</v>
      </c>
      <c r="N38" s="11">
        <f t="shared" si="8"/>
        <v>41.416273800000006</v>
      </c>
      <c r="O38" s="11">
        <f t="shared" si="9"/>
        <v>0</v>
      </c>
      <c r="P38" s="11">
        <f t="shared" si="10"/>
        <v>1.1782219322775001</v>
      </c>
      <c r="Q38" s="11">
        <f t="shared" si="11"/>
        <v>0</v>
      </c>
      <c r="R38" s="415"/>
      <c r="S38" s="415"/>
    </row>
    <row r="39" spans="1:19" s="175" customFormat="1" ht="13.5" thickBot="1">
      <c r="A39" s="1328"/>
      <c r="B39" s="416"/>
      <c r="C39" s="297" t="s">
        <v>4003</v>
      </c>
      <c r="D39" s="575" t="s">
        <v>4004</v>
      </c>
      <c r="E39" s="177">
        <v>5000</v>
      </c>
      <c r="F39" s="8">
        <f t="shared" si="0"/>
        <v>2750</v>
      </c>
      <c r="G39" s="9">
        <f t="shared" si="1"/>
        <v>0</v>
      </c>
      <c r="H39" s="52">
        <f t="shared" si="2"/>
        <v>86.267500000000013</v>
      </c>
      <c r="I39" s="11">
        <f t="shared" si="3"/>
        <v>0</v>
      </c>
      <c r="J39" s="11">
        <f t="shared" si="4"/>
        <v>75.350000000000009</v>
      </c>
      <c r="K39" s="11">
        <f t="shared" si="5"/>
        <v>0</v>
      </c>
      <c r="L39" s="11">
        <f t="shared" si="6"/>
        <v>62.7</v>
      </c>
      <c r="M39" s="11">
        <f t="shared" si="7"/>
        <v>0</v>
      </c>
      <c r="N39" s="11">
        <f t="shared" si="8"/>
        <v>56.1</v>
      </c>
      <c r="O39" s="11">
        <f t="shared" si="9"/>
        <v>0</v>
      </c>
      <c r="P39" s="11">
        <f t="shared" si="10"/>
        <v>1.5959487500000002</v>
      </c>
      <c r="Q39" s="11">
        <f t="shared" si="11"/>
        <v>0</v>
      </c>
      <c r="R39" s="892"/>
      <c r="S39" s="892"/>
    </row>
    <row r="40" spans="1:19" s="175" customFormat="1" ht="13.5" thickBot="1">
      <c r="A40" s="1328"/>
      <c r="B40" s="416"/>
      <c r="C40" s="297" t="s">
        <v>1193</v>
      </c>
      <c r="D40" s="575" t="s">
        <v>1194</v>
      </c>
      <c r="E40" s="177">
        <v>13953.14</v>
      </c>
      <c r="F40" s="8">
        <f t="shared" ref="F40:F49" si="12">E40*(1-45%)</f>
        <v>7674.2269999999999</v>
      </c>
      <c r="G40" s="9">
        <f t="shared" ref="G40:G49" si="13">F40*B40</f>
        <v>0</v>
      </c>
      <c r="H40" s="52">
        <f t="shared" ref="H40:H49" si="14">F40*0.03137</f>
        <v>240.74050099000002</v>
      </c>
      <c r="I40" s="11">
        <f t="shared" ref="I40:I49" si="15">H40*B40</f>
        <v>0</v>
      </c>
      <c r="J40" s="11">
        <f t="shared" ref="J40:J49" si="16">F40*0.0274</f>
        <v>210.27381980000001</v>
      </c>
      <c r="K40" s="11">
        <f t="shared" ref="K40:K49" si="17">J40*B40</f>
        <v>0</v>
      </c>
      <c r="L40" s="11">
        <f t="shared" ref="L40:L49" si="18">F40*0.0228</f>
        <v>174.97237559999999</v>
      </c>
      <c r="M40" s="11">
        <f t="shared" ref="M40:M49" si="19">L40*B40</f>
        <v>0</v>
      </c>
      <c r="N40" s="11">
        <f t="shared" ref="N40:N49" si="20">F40*0.0204</f>
        <v>156.5542308</v>
      </c>
      <c r="O40" s="11">
        <f t="shared" ref="O40:O49" si="21">N40*B40</f>
        <v>0</v>
      </c>
      <c r="P40" s="11">
        <f t="shared" ref="P40:P49" si="22">H40*0.0185</f>
        <v>4.4536992683149998</v>
      </c>
      <c r="Q40" s="11">
        <f t="shared" ref="Q40:Q49" si="23">P40*B40</f>
        <v>0</v>
      </c>
      <c r="R40" s="892"/>
      <c r="S40" s="892"/>
    </row>
    <row r="41" spans="1:19" s="175" customFormat="1" ht="13.5" thickBot="1">
      <c r="A41" s="1328"/>
      <c r="B41" s="416"/>
      <c r="C41" s="297" t="s">
        <v>1197</v>
      </c>
      <c r="D41" s="575" t="s">
        <v>4096</v>
      </c>
      <c r="E41" s="177">
        <v>4436.03</v>
      </c>
      <c r="F41" s="8">
        <f t="shared" si="12"/>
        <v>2439.8164999999999</v>
      </c>
      <c r="G41" s="9">
        <f t="shared" si="13"/>
        <v>0</v>
      </c>
      <c r="H41" s="52">
        <f t="shared" si="14"/>
        <v>76.537043605000008</v>
      </c>
      <c r="I41" s="11">
        <f t="shared" si="15"/>
        <v>0</v>
      </c>
      <c r="J41" s="11">
        <f t="shared" si="16"/>
        <v>66.850972099999993</v>
      </c>
      <c r="K41" s="11">
        <f t="shared" si="17"/>
        <v>0</v>
      </c>
      <c r="L41" s="11">
        <f t="shared" si="18"/>
        <v>55.627816199999998</v>
      </c>
      <c r="M41" s="11">
        <f t="shared" si="19"/>
        <v>0</v>
      </c>
      <c r="N41" s="11">
        <f t="shared" si="20"/>
        <v>49.772256599999999</v>
      </c>
      <c r="O41" s="11">
        <f t="shared" si="21"/>
        <v>0</v>
      </c>
      <c r="P41" s="11">
        <f t="shared" si="22"/>
        <v>1.4159353066925</v>
      </c>
      <c r="Q41" s="11">
        <f t="shared" si="23"/>
        <v>0</v>
      </c>
      <c r="R41" s="892"/>
      <c r="S41" s="892"/>
    </row>
    <row r="42" spans="1:19" s="175" customFormat="1" ht="13.5" thickBot="1">
      <c r="A42" s="1328"/>
      <c r="B42" s="416"/>
      <c r="C42" s="297" t="s">
        <v>1195</v>
      </c>
      <c r="D42" s="575" t="s">
        <v>1196</v>
      </c>
      <c r="E42" s="177">
        <v>3699.7</v>
      </c>
      <c r="F42" s="8">
        <f t="shared" si="12"/>
        <v>2034.835</v>
      </c>
      <c r="G42" s="9">
        <f t="shared" si="13"/>
        <v>0</v>
      </c>
      <c r="H42" s="52">
        <f t="shared" si="14"/>
        <v>63.832773950000004</v>
      </c>
      <c r="I42" s="11">
        <f t="shared" si="15"/>
        <v>0</v>
      </c>
      <c r="J42" s="11">
        <f t="shared" si="16"/>
        <v>55.754479000000003</v>
      </c>
      <c r="K42" s="11">
        <f t="shared" si="17"/>
        <v>0</v>
      </c>
      <c r="L42" s="11">
        <f t="shared" si="18"/>
        <v>46.394238000000001</v>
      </c>
      <c r="M42" s="11">
        <f t="shared" si="19"/>
        <v>0</v>
      </c>
      <c r="N42" s="11">
        <f t="shared" si="20"/>
        <v>41.510634000000003</v>
      </c>
      <c r="O42" s="11">
        <f t="shared" si="21"/>
        <v>0</v>
      </c>
      <c r="P42" s="11">
        <f t="shared" si="22"/>
        <v>1.1809063180749999</v>
      </c>
      <c r="Q42" s="11">
        <f t="shared" si="23"/>
        <v>0</v>
      </c>
      <c r="R42" s="892"/>
      <c r="S42" s="892"/>
    </row>
    <row r="43" spans="1:19" s="175" customFormat="1" ht="13.5" thickBot="1">
      <c r="A43" s="1328"/>
      <c r="B43" s="416"/>
      <c r="C43" s="297" t="s">
        <v>4037</v>
      </c>
      <c r="D43" s="575" t="s">
        <v>4113</v>
      </c>
      <c r="E43" s="177">
        <v>739.94</v>
      </c>
      <c r="F43" s="8">
        <f t="shared" si="12"/>
        <v>406.96700000000004</v>
      </c>
      <c r="G43" s="9">
        <f t="shared" si="13"/>
        <v>0</v>
      </c>
      <c r="H43" s="52">
        <f t="shared" si="14"/>
        <v>12.766554790000002</v>
      </c>
      <c r="I43" s="11">
        <f t="shared" si="15"/>
        <v>0</v>
      </c>
      <c r="J43" s="11">
        <f t="shared" si="16"/>
        <v>11.150895800000001</v>
      </c>
      <c r="K43" s="11">
        <f t="shared" si="17"/>
        <v>0</v>
      </c>
      <c r="L43" s="11">
        <f t="shared" si="18"/>
        <v>9.2788476000000006</v>
      </c>
      <c r="M43" s="11">
        <f t="shared" si="19"/>
        <v>0</v>
      </c>
      <c r="N43" s="11">
        <f t="shared" si="20"/>
        <v>8.3021268000000017</v>
      </c>
      <c r="O43" s="11">
        <f t="shared" si="21"/>
        <v>0</v>
      </c>
      <c r="P43" s="11">
        <f t="shared" si="22"/>
        <v>0.23618126361500003</v>
      </c>
      <c r="Q43" s="11">
        <f t="shared" si="23"/>
        <v>0</v>
      </c>
      <c r="R43" s="892"/>
      <c r="S43" s="892"/>
    </row>
    <row r="44" spans="1:19" s="175" customFormat="1" ht="13.5" thickBot="1">
      <c r="A44" s="1328"/>
      <c r="B44" s="416"/>
      <c r="C44" s="297" t="s">
        <v>1089</v>
      </c>
      <c r="D44" s="575" t="s">
        <v>1090</v>
      </c>
      <c r="E44" s="177">
        <v>3606.97</v>
      </c>
      <c r="F44" s="8">
        <f t="shared" si="12"/>
        <v>1983.8335</v>
      </c>
      <c r="G44" s="9">
        <f t="shared" si="13"/>
        <v>0</v>
      </c>
      <c r="H44" s="52">
        <f t="shared" si="14"/>
        <v>62.232856895000005</v>
      </c>
      <c r="I44" s="11">
        <f t="shared" si="15"/>
        <v>0</v>
      </c>
      <c r="J44" s="11">
        <f t="shared" si="16"/>
        <v>54.357037900000002</v>
      </c>
      <c r="K44" s="11">
        <f t="shared" si="17"/>
        <v>0</v>
      </c>
      <c r="L44" s="11">
        <f t="shared" si="18"/>
        <v>45.231403800000002</v>
      </c>
      <c r="M44" s="11">
        <f t="shared" si="19"/>
        <v>0</v>
      </c>
      <c r="N44" s="11">
        <f t="shared" si="20"/>
        <v>40.470203400000003</v>
      </c>
      <c r="O44" s="11">
        <f t="shared" si="21"/>
        <v>0</v>
      </c>
      <c r="P44" s="11">
        <f t="shared" si="22"/>
        <v>1.1513078525575</v>
      </c>
      <c r="Q44" s="11">
        <f t="shared" si="23"/>
        <v>0</v>
      </c>
      <c r="R44" s="892"/>
      <c r="S44" s="892"/>
    </row>
    <row r="45" spans="1:19" s="175" customFormat="1" ht="13.5" thickBot="1">
      <c r="A45" s="1328"/>
      <c r="B45" s="416"/>
      <c r="C45" s="297" t="s">
        <v>1069</v>
      </c>
      <c r="D45" s="575" t="s">
        <v>1070</v>
      </c>
      <c r="E45" s="177">
        <v>1701.26</v>
      </c>
      <c r="F45" s="8">
        <f t="shared" si="12"/>
        <v>935.6930000000001</v>
      </c>
      <c r="G45" s="9">
        <f t="shared" si="13"/>
        <v>0</v>
      </c>
      <c r="H45" s="52">
        <f t="shared" si="14"/>
        <v>29.352689410000004</v>
      </c>
      <c r="I45" s="11">
        <f t="shared" si="15"/>
        <v>0</v>
      </c>
      <c r="J45" s="11">
        <f t="shared" si="16"/>
        <v>25.637988200000002</v>
      </c>
      <c r="K45" s="11">
        <f t="shared" si="17"/>
        <v>0</v>
      </c>
      <c r="L45" s="11">
        <f t="shared" si="18"/>
        <v>21.333800400000001</v>
      </c>
      <c r="M45" s="11">
        <f t="shared" si="19"/>
        <v>0</v>
      </c>
      <c r="N45" s="11">
        <f t="shared" si="20"/>
        <v>19.088137200000002</v>
      </c>
      <c r="O45" s="11">
        <f t="shared" si="21"/>
        <v>0</v>
      </c>
      <c r="P45" s="11">
        <f t="shared" si="22"/>
        <v>0.54302475408500006</v>
      </c>
      <c r="Q45" s="11">
        <f t="shared" si="23"/>
        <v>0</v>
      </c>
      <c r="R45" s="892"/>
      <c r="S45" s="892"/>
    </row>
    <row r="46" spans="1:19" s="175" customFormat="1" ht="13.5" thickBot="1">
      <c r="A46" s="1328"/>
      <c r="B46" s="416"/>
      <c r="C46" s="297" t="s">
        <v>1095</v>
      </c>
      <c r="D46" s="575" t="s">
        <v>1096</v>
      </c>
      <c r="E46" s="177">
        <v>4637.54</v>
      </c>
      <c r="F46" s="8">
        <f t="shared" si="12"/>
        <v>2550.6470000000004</v>
      </c>
      <c r="G46" s="9">
        <f t="shared" si="13"/>
        <v>0</v>
      </c>
      <c r="H46" s="52">
        <f t="shared" si="14"/>
        <v>80.013796390000024</v>
      </c>
      <c r="I46" s="11">
        <f t="shared" si="15"/>
        <v>0</v>
      </c>
      <c r="J46" s="11">
        <f t="shared" si="16"/>
        <v>69.887727800000008</v>
      </c>
      <c r="K46" s="11">
        <f t="shared" si="17"/>
        <v>0</v>
      </c>
      <c r="L46" s="11">
        <f t="shared" si="18"/>
        <v>58.154751600000012</v>
      </c>
      <c r="M46" s="11">
        <f t="shared" si="19"/>
        <v>0</v>
      </c>
      <c r="N46" s="11">
        <f t="shared" si="20"/>
        <v>52.033198800000015</v>
      </c>
      <c r="O46" s="11">
        <f t="shared" si="21"/>
        <v>0</v>
      </c>
      <c r="P46" s="11">
        <f t="shared" si="22"/>
        <v>1.4802552332150003</v>
      </c>
      <c r="Q46" s="11">
        <f t="shared" si="23"/>
        <v>0</v>
      </c>
      <c r="R46" s="892"/>
      <c r="S46" s="892"/>
    </row>
    <row r="47" spans="1:19" s="175" customFormat="1" ht="13.5" thickBot="1">
      <c r="A47" s="1328"/>
      <c r="B47" s="416"/>
      <c r="C47" s="297" t="s">
        <v>1083</v>
      </c>
      <c r="D47" s="575" t="s">
        <v>1084</v>
      </c>
      <c r="E47" s="177">
        <v>1422.19</v>
      </c>
      <c r="F47" s="8">
        <f t="shared" si="12"/>
        <v>782.20450000000005</v>
      </c>
      <c r="G47" s="9">
        <f t="shared" si="13"/>
        <v>0</v>
      </c>
      <c r="H47" s="52">
        <f t="shared" si="14"/>
        <v>24.537755165000004</v>
      </c>
      <c r="I47" s="11">
        <f t="shared" si="15"/>
        <v>0</v>
      </c>
      <c r="J47" s="11">
        <f t="shared" si="16"/>
        <v>21.432403300000001</v>
      </c>
      <c r="K47" s="11">
        <f t="shared" si="17"/>
        <v>0</v>
      </c>
      <c r="L47" s="11">
        <f t="shared" si="18"/>
        <v>17.834262600000002</v>
      </c>
      <c r="M47" s="11">
        <f t="shared" si="19"/>
        <v>0</v>
      </c>
      <c r="N47" s="11">
        <f t="shared" si="20"/>
        <v>15.956971800000002</v>
      </c>
      <c r="O47" s="11">
        <f t="shared" si="21"/>
        <v>0</v>
      </c>
      <c r="P47" s="11">
        <f t="shared" si="22"/>
        <v>0.45394847055250004</v>
      </c>
      <c r="Q47" s="11">
        <f t="shared" si="23"/>
        <v>0</v>
      </c>
      <c r="R47" s="892"/>
      <c r="S47" s="892"/>
    </row>
    <row r="48" spans="1:19" s="175" customFormat="1" ht="13.5" thickBot="1">
      <c r="A48" s="1328"/>
      <c r="B48" s="416"/>
      <c r="C48" s="297" t="s">
        <v>1071</v>
      </c>
      <c r="D48" s="575" t="s">
        <v>1072</v>
      </c>
      <c r="E48" s="177">
        <v>1701.26</v>
      </c>
      <c r="F48" s="8">
        <f t="shared" si="12"/>
        <v>935.6930000000001</v>
      </c>
      <c r="G48" s="9">
        <f t="shared" si="13"/>
        <v>0</v>
      </c>
      <c r="H48" s="52">
        <f t="shared" si="14"/>
        <v>29.352689410000004</v>
      </c>
      <c r="I48" s="11">
        <f t="shared" si="15"/>
        <v>0</v>
      </c>
      <c r="J48" s="11">
        <f t="shared" si="16"/>
        <v>25.637988200000002</v>
      </c>
      <c r="K48" s="11">
        <f t="shared" si="17"/>
        <v>0</v>
      </c>
      <c r="L48" s="11">
        <f t="shared" si="18"/>
        <v>21.333800400000001</v>
      </c>
      <c r="M48" s="11">
        <f t="shared" si="19"/>
        <v>0</v>
      </c>
      <c r="N48" s="11">
        <f t="shared" si="20"/>
        <v>19.088137200000002</v>
      </c>
      <c r="O48" s="11">
        <f t="shared" si="21"/>
        <v>0</v>
      </c>
      <c r="P48" s="11">
        <f t="shared" si="22"/>
        <v>0.54302475408500006</v>
      </c>
      <c r="Q48" s="11">
        <f t="shared" si="23"/>
        <v>0</v>
      </c>
      <c r="R48" s="892"/>
      <c r="S48" s="892"/>
    </row>
    <row r="49" spans="1:19" s="175" customFormat="1" ht="13.5" thickBot="1">
      <c r="A49" s="1328"/>
      <c r="B49" s="416"/>
      <c r="C49" s="297" t="s">
        <v>1085</v>
      </c>
      <c r="D49" s="575" t="s">
        <v>1086</v>
      </c>
      <c r="E49" s="177">
        <v>1545.83</v>
      </c>
      <c r="F49" s="8">
        <f t="shared" si="12"/>
        <v>850.20650000000001</v>
      </c>
      <c r="G49" s="9">
        <f t="shared" si="13"/>
        <v>0</v>
      </c>
      <c r="H49" s="52">
        <f t="shared" si="14"/>
        <v>26.670977905000001</v>
      </c>
      <c r="I49" s="11">
        <f t="shared" si="15"/>
        <v>0</v>
      </c>
      <c r="J49" s="11">
        <f t="shared" si="16"/>
        <v>23.295658100000001</v>
      </c>
      <c r="K49" s="11">
        <f t="shared" si="17"/>
        <v>0</v>
      </c>
      <c r="L49" s="11">
        <f t="shared" si="18"/>
        <v>19.384708200000002</v>
      </c>
      <c r="M49" s="11">
        <f t="shared" si="19"/>
        <v>0</v>
      </c>
      <c r="N49" s="11">
        <f t="shared" si="20"/>
        <v>17.344212600000002</v>
      </c>
      <c r="O49" s="11">
        <f t="shared" si="21"/>
        <v>0</v>
      </c>
      <c r="P49" s="11">
        <f t="shared" si="22"/>
        <v>0.49341309124249999</v>
      </c>
      <c r="Q49" s="11">
        <f t="shared" si="23"/>
        <v>0</v>
      </c>
      <c r="R49" s="892"/>
      <c r="S49" s="892"/>
    </row>
    <row r="50" spans="1:19" s="175" customFormat="1" ht="13.5" thickBot="1">
      <c r="A50" s="1328"/>
      <c r="B50" s="416"/>
      <c r="C50" s="297" t="s">
        <v>1073</v>
      </c>
      <c r="D50" s="575" t="s">
        <v>1074</v>
      </c>
      <c r="E50" s="177">
        <v>1701.26</v>
      </c>
      <c r="F50" s="8">
        <f t="shared" si="0"/>
        <v>935.6930000000001</v>
      </c>
      <c r="G50" s="9">
        <f t="shared" si="1"/>
        <v>0</v>
      </c>
      <c r="H50" s="52">
        <f t="shared" si="2"/>
        <v>29.352689410000004</v>
      </c>
      <c r="I50" s="11">
        <f t="shared" si="3"/>
        <v>0</v>
      </c>
      <c r="J50" s="11">
        <f t="shared" si="4"/>
        <v>25.637988200000002</v>
      </c>
      <c r="K50" s="11">
        <f t="shared" si="5"/>
        <v>0</v>
      </c>
      <c r="L50" s="11">
        <f t="shared" si="6"/>
        <v>21.333800400000001</v>
      </c>
      <c r="M50" s="11">
        <f t="shared" si="7"/>
        <v>0</v>
      </c>
      <c r="N50" s="11">
        <f t="shared" si="8"/>
        <v>19.088137200000002</v>
      </c>
      <c r="O50" s="11">
        <f t="shared" si="9"/>
        <v>0</v>
      </c>
      <c r="P50" s="11">
        <f t="shared" si="10"/>
        <v>0.54302475408500006</v>
      </c>
      <c r="Q50" s="11">
        <f t="shared" si="11"/>
        <v>0</v>
      </c>
      <c r="R50" s="892"/>
      <c r="S50" s="892"/>
    </row>
    <row r="51" spans="1:19" s="175" customFormat="1" ht="13.5" thickBot="1">
      <c r="A51" s="1328"/>
      <c r="B51" s="416"/>
      <c r="C51" s="297" t="s">
        <v>1087</v>
      </c>
      <c r="D51" s="575" t="s">
        <v>1088</v>
      </c>
      <c r="E51" s="177">
        <v>1545.83</v>
      </c>
      <c r="F51" s="8">
        <f t="shared" si="0"/>
        <v>850.20650000000001</v>
      </c>
      <c r="G51" s="9">
        <f t="shared" si="1"/>
        <v>0</v>
      </c>
      <c r="H51" s="52">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0.49341309124249999</v>
      </c>
      <c r="Q51" s="11">
        <f t="shared" si="11"/>
        <v>0</v>
      </c>
      <c r="R51" s="892"/>
      <c r="S51" s="892"/>
    </row>
    <row r="52" spans="1:19" s="180" customFormat="1" ht="13.5" thickBot="1">
      <c r="A52" s="1328"/>
      <c r="B52" s="416"/>
      <c r="C52" s="297" t="s">
        <v>1079</v>
      </c>
      <c r="D52" s="575" t="s">
        <v>1080</v>
      </c>
      <c r="E52" s="177">
        <v>1545.83</v>
      </c>
      <c r="F52" s="8">
        <f t="shared" si="0"/>
        <v>850.20650000000001</v>
      </c>
      <c r="G52" s="9">
        <f t="shared" si="1"/>
        <v>0</v>
      </c>
      <c r="H52" s="52">
        <f t="shared" si="2"/>
        <v>26.670977905000001</v>
      </c>
      <c r="I52" s="11">
        <f t="shared" si="3"/>
        <v>0</v>
      </c>
      <c r="J52" s="11">
        <f t="shared" si="4"/>
        <v>23.295658100000001</v>
      </c>
      <c r="K52" s="11">
        <f t="shared" si="5"/>
        <v>0</v>
      </c>
      <c r="L52" s="11">
        <f t="shared" si="6"/>
        <v>19.384708200000002</v>
      </c>
      <c r="M52" s="11">
        <f t="shared" si="7"/>
        <v>0</v>
      </c>
      <c r="N52" s="11">
        <f t="shared" si="8"/>
        <v>17.344212600000002</v>
      </c>
      <c r="O52" s="11">
        <f t="shared" si="9"/>
        <v>0</v>
      </c>
      <c r="P52" s="11">
        <f t="shared" si="10"/>
        <v>0.49341309124249999</v>
      </c>
      <c r="Q52" s="11">
        <f t="shared" si="11"/>
        <v>0</v>
      </c>
      <c r="R52" s="415"/>
      <c r="S52" s="415"/>
    </row>
    <row r="53" spans="1:19" s="180" customFormat="1" ht="13.5" thickBot="1">
      <c r="A53" s="1328"/>
      <c r="B53" s="416"/>
      <c r="C53" s="797" t="s">
        <v>1075</v>
      </c>
      <c r="D53" s="960" t="s">
        <v>1076</v>
      </c>
      <c r="E53" s="172">
        <v>1545.83</v>
      </c>
      <c r="F53" s="8">
        <f t="shared" si="0"/>
        <v>850.20650000000001</v>
      </c>
      <c r="G53" s="9">
        <f t="shared" si="1"/>
        <v>0</v>
      </c>
      <c r="H53" s="52">
        <f t="shared" si="2"/>
        <v>26.670977905000001</v>
      </c>
      <c r="I53" s="11">
        <f t="shared" si="3"/>
        <v>0</v>
      </c>
      <c r="J53" s="11">
        <f t="shared" si="4"/>
        <v>23.295658100000001</v>
      </c>
      <c r="K53" s="11">
        <f t="shared" si="5"/>
        <v>0</v>
      </c>
      <c r="L53" s="11">
        <f t="shared" si="6"/>
        <v>19.384708200000002</v>
      </c>
      <c r="M53" s="11">
        <f t="shared" si="7"/>
        <v>0</v>
      </c>
      <c r="N53" s="11">
        <f t="shared" si="8"/>
        <v>17.344212600000002</v>
      </c>
      <c r="O53" s="11">
        <f t="shared" si="9"/>
        <v>0</v>
      </c>
      <c r="P53" s="11">
        <f t="shared" si="10"/>
        <v>0.49341309124249999</v>
      </c>
      <c r="Q53" s="11">
        <f t="shared" si="11"/>
        <v>0</v>
      </c>
      <c r="R53" s="415"/>
      <c r="S53" s="415"/>
    </row>
    <row r="54" spans="1:19" s="180" customFormat="1" ht="13.5" thickBot="1">
      <c r="A54" s="1328"/>
      <c r="B54" s="416"/>
      <c r="C54" s="297" t="s">
        <v>1097</v>
      </c>
      <c r="D54" s="575" t="s">
        <v>1098</v>
      </c>
      <c r="E54" s="177">
        <v>2679.44</v>
      </c>
      <c r="F54" s="8">
        <f t="shared" si="0"/>
        <v>1473.6920000000002</v>
      </c>
      <c r="G54" s="10">
        <f t="shared" si="1"/>
        <v>0</v>
      </c>
      <c r="H54" s="11">
        <f t="shared" si="2"/>
        <v>46.229718040000009</v>
      </c>
      <c r="I54" s="11">
        <f t="shared" si="3"/>
        <v>0</v>
      </c>
      <c r="J54" s="11">
        <f t="shared" si="4"/>
        <v>40.379160800000008</v>
      </c>
      <c r="K54" s="11">
        <f t="shared" si="5"/>
        <v>0</v>
      </c>
      <c r="L54" s="11">
        <f t="shared" si="6"/>
        <v>33.600177600000009</v>
      </c>
      <c r="M54" s="11">
        <f t="shared" si="7"/>
        <v>0</v>
      </c>
      <c r="N54" s="11">
        <f t="shared" si="8"/>
        <v>30.063316800000006</v>
      </c>
      <c r="O54" s="11">
        <f t="shared" si="9"/>
        <v>0</v>
      </c>
      <c r="P54" s="11">
        <f t="shared" si="10"/>
        <v>0.85524978374000016</v>
      </c>
      <c r="Q54" s="11">
        <f t="shared" si="11"/>
        <v>0</v>
      </c>
      <c r="R54" s="415"/>
      <c r="S54" s="415"/>
    </row>
    <row r="55" spans="1:19" s="180" customFormat="1" ht="13.5" thickBot="1">
      <c r="A55" s="1328"/>
      <c r="B55" s="416"/>
      <c r="C55" s="797" t="s">
        <v>1077</v>
      </c>
      <c r="D55" s="960" t="s">
        <v>1078</v>
      </c>
      <c r="E55" s="172">
        <v>1545.83</v>
      </c>
      <c r="F55" s="8">
        <f t="shared" si="0"/>
        <v>850.20650000000001</v>
      </c>
      <c r="G55" s="10">
        <f t="shared" si="1"/>
        <v>0</v>
      </c>
      <c r="H55" s="11">
        <f t="shared" si="2"/>
        <v>26.670977905000001</v>
      </c>
      <c r="I55" s="11">
        <f t="shared" si="3"/>
        <v>0</v>
      </c>
      <c r="J55" s="11">
        <f t="shared" si="4"/>
        <v>23.295658100000001</v>
      </c>
      <c r="K55" s="11">
        <f t="shared" si="5"/>
        <v>0</v>
      </c>
      <c r="L55" s="11">
        <f t="shared" si="6"/>
        <v>19.384708200000002</v>
      </c>
      <c r="M55" s="11">
        <f t="shared" si="7"/>
        <v>0</v>
      </c>
      <c r="N55" s="11">
        <f t="shared" si="8"/>
        <v>17.344212600000002</v>
      </c>
      <c r="O55" s="11">
        <f t="shared" si="9"/>
        <v>0</v>
      </c>
      <c r="P55" s="11">
        <f t="shared" si="10"/>
        <v>0.49341309124249999</v>
      </c>
      <c r="Q55" s="11">
        <f t="shared" si="11"/>
        <v>0</v>
      </c>
      <c r="R55" s="415"/>
      <c r="S55" s="415"/>
    </row>
    <row r="56" spans="1:19" s="180" customFormat="1" ht="13.5" thickBot="1">
      <c r="A56" s="1328"/>
      <c r="B56" s="416"/>
      <c r="C56" s="297" t="s">
        <v>1099</v>
      </c>
      <c r="D56" s="575" t="s">
        <v>1100</v>
      </c>
      <c r="E56" s="177">
        <v>5152.8100000000004</v>
      </c>
      <c r="F56" s="8">
        <f t="shared" si="0"/>
        <v>2834.0455000000006</v>
      </c>
      <c r="G56" s="10">
        <f t="shared" si="1"/>
        <v>0</v>
      </c>
      <c r="H56" s="11">
        <f t="shared" si="2"/>
        <v>88.904007335000031</v>
      </c>
      <c r="I56" s="11">
        <f t="shared" si="3"/>
        <v>0</v>
      </c>
      <c r="J56" s="11">
        <f t="shared" si="4"/>
        <v>77.652846700000026</v>
      </c>
      <c r="K56" s="11">
        <f t="shared" si="5"/>
        <v>0</v>
      </c>
      <c r="L56" s="11">
        <f t="shared" si="6"/>
        <v>64.616237400000017</v>
      </c>
      <c r="M56" s="11">
        <f t="shared" si="7"/>
        <v>0</v>
      </c>
      <c r="N56" s="11">
        <f t="shared" si="8"/>
        <v>57.814528200000019</v>
      </c>
      <c r="O56" s="11">
        <f t="shared" si="9"/>
        <v>0</v>
      </c>
      <c r="P56" s="11">
        <f t="shared" si="10"/>
        <v>1.6447241356975004</v>
      </c>
      <c r="Q56" s="11">
        <f t="shared" si="11"/>
        <v>0</v>
      </c>
      <c r="R56" s="415"/>
      <c r="S56" s="415"/>
    </row>
    <row r="57" spans="1:19" s="180" customFormat="1" ht="13.5" thickBot="1">
      <c r="A57" s="1328"/>
      <c r="B57" s="416"/>
      <c r="C57" s="891" t="s">
        <v>1091</v>
      </c>
      <c r="D57" s="575" t="s">
        <v>1092</v>
      </c>
      <c r="E57" s="177">
        <v>1648.89</v>
      </c>
      <c r="F57" s="8">
        <f t="shared" si="0"/>
        <v>906.88950000000011</v>
      </c>
      <c r="G57" s="10">
        <f t="shared" si="1"/>
        <v>0</v>
      </c>
      <c r="H57" s="11">
        <f t="shared" si="2"/>
        <v>28.449123615000005</v>
      </c>
      <c r="I57" s="11">
        <f t="shared" si="3"/>
        <v>0</v>
      </c>
      <c r="J57" s="11">
        <f t="shared" si="4"/>
        <v>24.848772300000004</v>
      </c>
      <c r="K57" s="11">
        <f t="shared" si="5"/>
        <v>0</v>
      </c>
      <c r="L57" s="11">
        <f t="shared" si="6"/>
        <v>20.677080600000004</v>
      </c>
      <c r="M57" s="11">
        <f t="shared" si="7"/>
        <v>0</v>
      </c>
      <c r="N57" s="11">
        <f t="shared" si="8"/>
        <v>18.500545800000005</v>
      </c>
      <c r="O57" s="11">
        <f t="shared" si="9"/>
        <v>0</v>
      </c>
      <c r="P57" s="11">
        <f t="shared" si="10"/>
        <v>0.52630878687750005</v>
      </c>
      <c r="Q57" s="11">
        <f t="shared" si="11"/>
        <v>0</v>
      </c>
      <c r="R57" s="415"/>
      <c r="S57" s="415"/>
    </row>
    <row r="58" spans="1:19" s="180" customFormat="1" ht="13.5" thickBot="1">
      <c r="A58" s="1328"/>
      <c r="B58" s="416"/>
      <c r="C58" s="297" t="s">
        <v>1093</v>
      </c>
      <c r="D58" s="575" t="s">
        <v>1094</v>
      </c>
      <c r="E58" s="177">
        <v>1648.89</v>
      </c>
      <c r="F58" s="8">
        <f t="shared" si="0"/>
        <v>906.88950000000011</v>
      </c>
      <c r="G58" s="10">
        <f t="shared" si="1"/>
        <v>0</v>
      </c>
      <c r="H58" s="11">
        <f t="shared" si="2"/>
        <v>28.449123615000005</v>
      </c>
      <c r="I58" s="11">
        <f t="shared" si="3"/>
        <v>0</v>
      </c>
      <c r="J58" s="11">
        <f t="shared" si="4"/>
        <v>24.848772300000004</v>
      </c>
      <c r="K58" s="11">
        <f t="shared" si="5"/>
        <v>0</v>
      </c>
      <c r="L58" s="11">
        <f t="shared" si="6"/>
        <v>20.677080600000004</v>
      </c>
      <c r="M58" s="11">
        <f t="shared" si="7"/>
        <v>0</v>
      </c>
      <c r="N58" s="11">
        <f t="shared" si="8"/>
        <v>18.500545800000005</v>
      </c>
      <c r="O58" s="11">
        <f t="shared" si="9"/>
        <v>0</v>
      </c>
      <c r="P58" s="11">
        <f t="shared" si="10"/>
        <v>0.52630878687750005</v>
      </c>
      <c r="Q58" s="11">
        <f t="shared" si="11"/>
        <v>0</v>
      </c>
      <c r="R58" s="415"/>
      <c r="S58" s="415"/>
    </row>
    <row r="59" spans="1:19" s="180" customFormat="1" ht="13.5" thickBot="1">
      <c r="A59" s="1328"/>
      <c r="B59" s="416"/>
      <c r="C59" s="297" t="s">
        <v>1161</v>
      </c>
      <c r="D59" s="575" t="s">
        <v>1162</v>
      </c>
      <c r="E59" s="177">
        <v>4159.99</v>
      </c>
      <c r="F59" s="8">
        <f t="shared" si="0"/>
        <v>2287.9945000000002</v>
      </c>
      <c r="G59" s="10">
        <f t="shared" si="1"/>
        <v>0</v>
      </c>
      <c r="H59" s="11">
        <f t="shared" si="2"/>
        <v>71.774387465000018</v>
      </c>
      <c r="I59" s="11">
        <f t="shared" si="3"/>
        <v>0</v>
      </c>
      <c r="J59" s="11">
        <f t="shared" si="4"/>
        <v>62.69104930000001</v>
      </c>
      <c r="K59" s="11">
        <f t="shared" si="5"/>
        <v>0</v>
      </c>
      <c r="L59" s="11">
        <f t="shared" si="6"/>
        <v>52.166274600000008</v>
      </c>
      <c r="M59" s="11">
        <f t="shared" si="7"/>
        <v>0</v>
      </c>
      <c r="N59" s="11">
        <f t="shared" si="8"/>
        <v>46.675087800000007</v>
      </c>
      <c r="O59" s="11">
        <f t="shared" si="9"/>
        <v>0</v>
      </c>
      <c r="P59" s="11">
        <f t="shared" si="10"/>
        <v>1.3278261681025003</v>
      </c>
      <c r="Q59" s="11">
        <f t="shared" si="11"/>
        <v>0</v>
      </c>
      <c r="R59" s="415"/>
      <c r="S59" s="415"/>
    </row>
    <row r="60" spans="1:19" s="180" customFormat="1" ht="13.5" thickBot="1">
      <c r="A60" s="1328"/>
      <c r="B60" s="416"/>
      <c r="C60" s="297" t="s">
        <v>1165</v>
      </c>
      <c r="D60" s="575" t="s">
        <v>1166</v>
      </c>
      <c r="E60" s="177">
        <v>3690.62</v>
      </c>
      <c r="F60" s="8">
        <f t="shared" si="0"/>
        <v>2029.8410000000001</v>
      </c>
      <c r="G60" s="10">
        <f t="shared" si="1"/>
        <v>0</v>
      </c>
      <c r="H60" s="11">
        <f t="shared" si="2"/>
        <v>63.67611217000001</v>
      </c>
      <c r="I60" s="11">
        <f t="shared" si="3"/>
        <v>0</v>
      </c>
      <c r="J60" s="11">
        <f t="shared" si="4"/>
        <v>55.617643400000006</v>
      </c>
      <c r="K60" s="11">
        <f t="shared" si="5"/>
        <v>0</v>
      </c>
      <c r="L60" s="11">
        <f t="shared" si="6"/>
        <v>46.280374800000004</v>
      </c>
      <c r="M60" s="11">
        <f t="shared" si="7"/>
        <v>0</v>
      </c>
      <c r="N60" s="11">
        <f t="shared" si="8"/>
        <v>41.408756400000009</v>
      </c>
      <c r="O60" s="11">
        <f t="shared" si="9"/>
        <v>0</v>
      </c>
      <c r="P60" s="11">
        <f t="shared" si="10"/>
        <v>1.1780080751450002</v>
      </c>
      <c r="Q60" s="11">
        <f t="shared" si="11"/>
        <v>0</v>
      </c>
      <c r="R60" s="415"/>
      <c r="S60" s="415"/>
    </row>
    <row r="61" spans="1:19" s="180" customFormat="1" ht="13.5" thickBot="1">
      <c r="A61" s="1328"/>
      <c r="B61" s="416"/>
      <c r="C61" s="297" t="s">
        <v>1163</v>
      </c>
      <c r="D61" s="575" t="s">
        <v>1164</v>
      </c>
      <c r="E61" s="177">
        <v>3690.62</v>
      </c>
      <c r="F61" s="8">
        <f t="shared" si="0"/>
        <v>2029.8410000000001</v>
      </c>
      <c r="G61" s="10">
        <f t="shared" si="1"/>
        <v>0</v>
      </c>
      <c r="H61" s="11">
        <f t="shared" si="2"/>
        <v>63.67611217000001</v>
      </c>
      <c r="I61" s="11">
        <f t="shared" si="3"/>
        <v>0</v>
      </c>
      <c r="J61" s="11">
        <f t="shared" si="4"/>
        <v>55.617643400000006</v>
      </c>
      <c r="K61" s="11">
        <f t="shared" si="5"/>
        <v>0</v>
      </c>
      <c r="L61" s="11">
        <f t="shared" si="6"/>
        <v>46.280374800000004</v>
      </c>
      <c r="M61" s="11">
        <f t="shared" si="7"/>
        <v>0</v>
      </c>
      <c r="N61" s="11">
        <f t="shared" si="8"/>
        <v>41.408756400000009</v>
      </c>
      <c r="O61" s="11">
        <f t="shared" si="9"/>
        <v>0</v>
      </c>
      <c r="P61" s="11">
        <f t="shared" si="10"/>
        <v>1.1780080751450002</v>
      </c>
      <c r="Q61" s="11">
        <f t="shared" si="11"/>
        <v>0</v>
      </c>
      <c r="R61" s="415"/>
      <c r="S61" s="415"/>
    </row>
    <row r="62" spans="1:19" s="180" customFormat="1" ht="13.5" thickBot="1">
      <c r="A62" s="1328"/>
      <c r="B62" s="416"/>
      <c r="C62" s="297" t="s">
        <v>1081</v>
      </c>
      <c r="D62" s="575" t="s">
        <v>1082</v>
      </c>
      <c r="E62" s="177">
        <v>1628.26</v>
      </c>
      <c r="F62" s="8">
        <f t="shared" si="0"/>
        <v>895.54300000000012</v>
      </c>
      <c r="G62" s="10">
        <f t="shared" si="1"/>
        <v>0</v>
      </c>
      <c r="H62" s="11">
        <f t="shared" si="2"/>
        <v>28.093183910000004</v>
      </c>
      <c r="I62" s="11">
        <f t="shared" si="3"/>
        <v>0</v>
      </c>
      <c r="J62" s="11">
        <f t="shared" si="4"/>
        <v>24.537878200000005</v>
      </c>
      <c r="K62" s="11">
        <f t="shared" si="5"/>
        <v>0</v>
      </c>
      <c r="L62" s="11">
        <f t="shared" si="6"/>
        <v>20.418380400000004</v>
      </c>
      <c r="M62" s="11">
        <f t="shared" si="7"/>
        <v>0</v>
      </c>
      <c r="N62" s="11">
        <f t="shared" si="8"/>
        <v>18.269077200000005</v>
      </c>
      <c r="O62" s="11">
        <f t="shared" si="9"/>
        <v>0</v>
      </c>
      <c r="P62" s="11">
        <f t="shared" si="10"/>
        <v>0.5197239023350001</v>
      </c>
      <c r="Q62" s="11">
        <f t="shared" si="11"/>
        <v>0</v>
      </c>
      <c r="R62" s="415"/>
      <c r="S62" s="415"/>
    </row>
    <row r="63" spans="1:19" s="180" customFormat="1" ht="13.5" thickBot="1">
      <c r="A63" s="1328"/>
      <c r="B63" s="416"/>
      <c r="C63" s="297" t="s">
        <v>4026</v>
      </c>
      <c r="D63" s="575" t="s">
        <v>4027</v>
      </c>
      <c r="E63" s="177">
        <v>2366.46</v>
      </c>
      <c r="F63" s="8">
        <f t="shared" si="0"/>
        <v>1301.5530000000001</v>
      </c>
      <c r="G63" s="10">
        <f t="shared" si="1"/>
        <v>0</v>
      </c>
      <c r="H63" s="11">
        <f t="shared" si="2"/>
        <v>40.829717610000003</v>
      </c>
      <c r="I63" s="11">
        <f t="shared" si="3"/>
        <v>0</v>
      </c>
      <c r="J63" s="11">
        <f t="shared" si="4"/>
        <v>35.662552200000007</v>
      </c>
      <c r="K63" s="11">
        <f t="shared" si="5"/>
        <v>0</v>
      </c>
      <c r="L63" s="11">
        <f t="shared" si="6"/>
        <v>29.675408400000002</v>
      </c>
      <c r="M63" s="11">
        <f t="shared" si="7"/>
        <v>0</v>
      </c>
      <c r="N63" s="11">
        <f t="shared" si="8"/>
        <v>26.551681200000004</v>
      </c>
      <c r="O63" s="11">
        <f t="shared" si="9"/>
        <v>0</v>
      </c>
      <c r="P63" s="11">
        <f t="shared" si="10"/>
        <v>0.75534977578500007</v>
      </c>
      <c r="Q63" s="11">
        <f t="shared" si="11"/>
        <v>0</v>
      </c>
      <c r="R63" s="415"/>
      <c r="S63" s="415"/>
    </row>
    <row r="64" spans="1:19" s="180" customFormat="1" ht="13.5" thickBot="1">
      <c r="A64" s="1328"/>
      <c r="B64" s="416"/>
      <c r="C64" s="797" t="s">
        <v>1401</v>
      </c>
      <c r="D64" s="960" t="s">
        <v>1402</v>
      </c>
      <c r="E64" s="172">
        <v>13873.86</v>
      </c>
      <c r="F64" s="8">
        <f t="shared" si="0"/>
        <v>7630.6230000000005</v>
      </c>
      <c r="G64" s="10">
        <f t="shared" si="1"/>
        <v>0</v>
      </c>
      <c r="H64" s="11">
        <f t="shared" si="2"/>
        <v>239.37264351000002</v>
      </c>
      <c r="I64" s="11">
        <f t="shared" si="3"/>
        <v>0</v>
      </c>
      <c r="J64" s="11">
        <f t="shared" si="4"/>
        <v>209.07907020000002</v>
      </c>
      <c r="K64" s="11">
        <f t="shared" si="5"/>
        <v>0</v>
      </c>
      <c r="L64" s="11">
        <f t="shared" si="6"/>
        <v>173.97820440000001</v>
      </c>
      <c r="M64" s="11">
        <f t="shared" si="7"/>
        <v>0</v>
      </c>
      <c r="N64" s="11">
        <f t="shared" si="8"/>
        <v>155.66470920000003</v>
      </c>
      <c r="O64" s="11">
        <f t="shared" si="9"/>
        <v>0</v>
      </c>
      <c r="P64" s="11">
        <f t="shared" si="10"/>
        <v>4.4283939049350005</v>
      </c>
      <c r="Q64" s="11">
        <f t="shared" si="11"/>
        <v>0</v>
      </c>
      <c r="R64" s="415"/>
      <c r="S64" s="415"/>
    </row>
    <row r="65" spans="1:19" s="180" customFormat="1" ht="13.5" thickBot="1">
      <c r="A65" s="1328"/>
      <c r="B65" s="416"/>
      <c r="C65" s="797">
        <v>45204557</v>
      </c>
      <c r="D65" s="960" t="s">
        <v>4005</v>
      </c>
      <c r="E65" s="172">
        <v>12589.5</v>
      </c>
      <c r="F65" s="8">
        <f t="shared" si="0"/>
        <v>6924.2250000000004</v>
      </c>
      <c r="G65" s="10">
        <f t="shared" si="1"/>
        <v>0</v>
      </c>
      <c r="H65" s="11">
        <f t="shared" si="2"/>
        <v>217.21293825000004</v>
      </c>
      <c r="I65" s="11">
        <f t="shared" si="3"/>
        <v>0</v>
      </c>
      <c r="J65" s="11">
        <f t="shared" si="4"/>
        <v>189.72376500000001</v>
      </c>
      <c r="K65" s="11">
        <f t="shared" si="5"/>
        <v>0</v>
      </c>
      <c r="L65" s="11">
        <f t="shared" si="6"/>
        <v>157.87233000000001</v>
      </c>
      <c r="M65" s="11">
        <f t="shared" si="7"/>
        <v>0</v>
      </c>
      <c r="N65" s="11">
        <f t="shared" si="8"/>
        <v>141.25419000000002</v>
      </c>
      <c r="O65" s="11">
        <f t="shared" si="9"/>
        <v>0</v>
      </c>
      <c r="P65" s="11">
        <f t="shared" si="10"/>
        <v>4.0184393576250006</v>
      </c>
      <c r="Q65" s="11">
        <f t="shared" si="11"/>
        <v>0</v>
      </c>
      <c r="R65" s="415"/>
      <c r="S65" s="415"/>
    </row>
    <row r="66" spans="1:19" s="180" customFormat="1" ht="13.5" thickBot="1">
      <c r="A66" s="1328"/>
      <c r="B66" s="416"/>
      <c r="C66" s="173">
        <v>45204332</v>
      </c>
      <c r="D66" s="960" t="s">
        <v>4006</v>
      </c>
      <c r="E66" s="172">
        <v>14175</v>
      </c>
      <c r="F66" s="8">
        <f t="shared" si="0"/>
        <v>7796.2500000000009</v>
      </c>
      <c r="G66" s="10">
        <f t="shared" si="1"/>
        <v>0</v>
      </c>
      <c r="H66" s="11">
        <f t="shared" si="2"/>
        <v>244.56836250000003</v>
      </c>
      <c r="I66" s="11">
        <f t="shared" si="3"/>
        <v>0</v>
      </c>
      <c r="J66" s="11">
        <f t="shared" si="4"/>
        <v>213.61725000000004</v>
      </c>
      <c r="K66" s="11">
        <f t="shared" si="5"/>
        <v>0</v>
      </c>
      <c r="L66" s="11">
        <f t="shared" si="6"/>
        <v>177.75450000000004</v>
      </c>
      <c r="M66" s="11">
        <f t="shared" si="7"/>
        <v>0</v>
      </c>
      <c r="N66" s="11">
        <f t="shared" si="8"/>
        <v>159.04350000000002</v>
      </c>
      <c r="O66" s="11">
        <f t="shared" si="9"/>
        <v>0</v>
      </c>
      <c r="P66" s="11">
        <f t="shared" si="10"/>
        <v>4.5245147062500006</v>
      </c>
      <c r="Q66" s="11">
        <f t="shared" si="11"/>
        <v>0</v>
      </c>
      <c r="R66" s="415"/>
      <c r="S66" s="415"/>
    </row>
    <row r="67" spans="1:19" s="180" customFormat="1" ht="13.5" thickBot="1">
      <c r="A67" s="1328"/>
      <c r="B67" s="416"/>
      <c r="C67" s="297" t="s">
        <v>1121</v>
      </c>
      <c r="D67" s="575" t="s">
        <v>1122</v>
      </c>
      <c r="E67" s="177">
        <v>154.84</v>
      </c>
      <c r="F67" s="8">
        <f t="shared" si="0"/>
        <v>85.162000000000006</v>
      </c>
      <c r="G67" s="10">
        <f t="shared" si="1"/>
        <v>0</v>
      </c>
      <c r="H67" s="11">
        <f t="shared" si="2"/>
        <v>2.6715319400000004</v>
      </c>
      <c r="I67" s="11">
        <f t="shared" si="3"/>
        <v>0</v>
      </c>
      <c r="J67" s="11">
        <f t="shared" si="4"/>
        <v>2.3334388000000001</v>
      </c>
      <c r="K67" s="11">
        <f t="shared" si="5"/>
        <v>0</v>
      </c>
      <c r="L67" s="11">
        <f t="shared" si="6"/>
        <v>1.9416936000000002</v>
      </c>
      <c r="M67" s="11">
        <f t="shared" si="7"/>
        <v>0</v>
      </c>
      <c r="N67" s="11">
        <f t="shared" si="8"/>
        <v>1.7373048000000002</v>
      </c>
      <c r="O67" s="11">
        <f t="shared" si="9"/>
        <v>0</v>
      </c>
      <c r="P67" s="11">
        <f t="shared" si="10"/>
        <v>4.9423340890000007E-2</v>
      </c>
      <c r="Q67" s="11">
        <f t="shared" si="11"/>
        <v>0</v>
      </c>
      <c r="R67" s="415"/>
      <c r="S67" s="415"/>
    </row>
    <row r="68" spans="1:19" s="180" customFormat="1" ht="13.5" thickBot="1">
      <c r="A68" s="1328"/>
      <c r="B68" s="416"/>
      <c r="C68" s="297" t="s">
        <v>1111</v>
      </c>
      <c r="D68" s="575" t="s">
        <v>1112</v>
      </c>
      <c r="E68" s="177">
        <v>142.6</v>
      </c>
      <c r="F68" s="8">
        <f t="shared" si="0"/>
        <v>78.430000000000007</v>
      </c>
      <c r="G68" s="9">
        <f t="shared" si="1"/>
        <v>0</v>
      </c>
      <c r="H68" s="52">
        <f t="shared" si="2"/>
        <v>2.4603491000000002</v>
      </c>
      <c r="I68" s="11">
        <f t="shared" si="3"/>
        <v>0</v>
      </c>
      <c r="J68" s="11">
        <f t="shared" si="4"/>
        <v>2.1489820000000002</v>
      </c>
      <c r="K68" s="11">
        <f t="shared" si="5"/>
        <v>0</v>
      </c>
      <c r="L68" s="11">
        <f t="shared" si="6"/>
        <v>1.7882040000000001</v>
      </c>
      <c r="M68" s="11">
        <f t="shared" si="7"/>
        <v>0</v>
      </c>
      <c r="N68" s="11">
        <f t="shared" si="8"/>
        <v>1.5999720000000002</v>
      </c>
      <c r="O68" s="11">
        <f t="shared" si="9"/>
        <v>0</v>
      </c>
      <c r="P68" s="11">
        <f t="shared" si="10"/>
        <v>4.5516458350000004E-2</v>
      </c>
      <c r="Q68" s="11">
        <f t="shared" si="11"/>
        <v>0</v>
      </c>
      <c r="R68" s="415"/>
      <c r="S68" s="415"/>
    </row>
    <row r="69" spans="1:19" s="180" customFormat="1" ht="13.5" thickBot="1">
      <c r="A69" s="1328"/>
      <c r="B69" s="416"/>
      <c r="C69" s="297" t="s">
        <v>1101</v>
      </c>
      <c r="D69" s="575" t="s">
        <v>1102</v>
      </c>
      <c r="E69" s="177">
        <v>141.21</v>
      </c>
      <c r="F69" s="8">
        <f t="shared" si="0"/>
        <v>77.665500000000009</v>
      </c>
      <c r="G69" s="10">
        <f t="shared" si="1"/>
        <v>0</v>
      </c>
      <c r="H69" s="11">
        <f t="shared" si="2"/>
        <v>2.4363667350000004</v>
      </c>
      <c r="I69" s="11">
        <f t="shared" si="3"/>
        <v>0</v>
      </c>
      <c r="J69" s="11">
        <f t="shared" si="4"/>
        <v>2.1280347000000002</v>
      </c>
      <c r="K69" s="11">
        <f t="shared" si="5"/>
        <v>0</v>
      </c>
      <c r="L69" s="11">
        <f t="shared" si="6"/>
        <v>1.7707734000000002</v>
      </c>
      <c r="M69" s="11">
        <f t="shared" si="7"/>
        <v>0</v>
      </c>
      <c r="N69" s="11">
        <f t="shared" si="8"/>
        <v>1.5843762000000003</v>
      </c>
      <c r="O69" s="11">
        <f t="shared" si="9"/>
        <v>0</v>
      </c>
      <c r="P69" s="11">
        <f t="shared" si="10"/>
        <v>4.5072784597500005E-2</v>
      </c>
      <c r="Q69" s="11">
        <f t="shared" si="11"/>
        <v>0</v>
      </c>
      <c r="R69" s="415"/>
      <c r="S69" s="415"/>
    </row>
    <row r="70" spans="1:19" s="180" customFormat="1" ht="13.5" thickBot="1">
      <c r="A70" s="1328"/>
      <c r="B70" s="416"/>
      <c r="C70" s="297" t="s">
        <v>1103</v>
      </c>
      <c r="D70" s="575" t="s">
        <v>1104</v>
      </c>
      <c r="E70" s="177">
        <v>122.89</v>
      </c>
      <c r="F70" s="8">
        <f t="shared" si="0"/>
        <v>67.589500000000001</v>
      </c>
      <c r="G70" s="10">
        <f t="shared" si="1"/>
        <v>0</v>
      </c>
      <c r="H70" s="11">
        <f t="shared" si="2"/>
        <v>2.1202826150000003</v>
      </c>
      <c r="I70" s="11">
        <f t="shared" si="3"/>
        <v>0</v>
      </c>
      <c r="J70" s="11">
        <f t="shared" si="4"/>
        <v>1.8519523</v>
      </c>
      <c r="K70" s="11">
        <f t="shared" si="5"/>
        <v>0</v>
      </c>
      <c r="L70" s="11">
        <f t="shared" si="6"/>
        <v>1.5410406000000001</v>
      </c>
      <c r="M70" s="11">
        <f t="shared" si="7"/>
        <v>0</v>
      </c>
      <c r="N70" s="11">
        <f t="shared" si="8"/>
        <v>1.3788258000000002</v>
      </c>
      <c r="O70" s="11">
        <f t="shared" si="9"/>
        <v>0</v>
      </c>
      <c r="P70" s="11">
        <f t="shared" si="10"/>
        <v>3.9225228377500004E-2</v>
      </c>
      <c r="Q70" s="11">
        <f t="shared" si="11"/>
        <v>0</v>
      </c>
      <c r="R70" s="415"/>
      <c r="S70" s="415"/>
    </row>
    <row r="71" spans="1:19" s="180" customFormat="1" ht="13.5" thickBot="1">
      <c r="A71" s="1328"/>
      <c r="B71" s="416"/>
      <c r="C71" s="891" t="s">
        <v>1113</v>
      </c>
      <c r="D71" s="575" t="s">
        <v>1114</v>
      </c>
      <c r="E71" s="177">
        <v>124.08</v>
      </c>
      <c r="F71" s="8">
        <f t="shared" si="0"/>
        <v>68.244</v>
      </c>
      <c r="G71" s="10">
        <f t="shared" si="1"/>
        <v>0</v>
      </c>
      <c r="H71" s="11">
        <f t="shared" si="2"/>
        <v>2.1408142800000003</v>
      </c>
      <c r="I71" s="11">
        <f t="shared" si="3"/>
        <v>0</v>
      </c>
      <c r="J71" s="11">
        <f t="shared" si="4"/>
        <v>1.8698856000000001</v>
      </c>
      <c r="K71" s="11">
        <f t="shared" si="5"/>
        <v>0</v>
      </c>
      <c r="L71" s="11">
        <f t="shared" si="6"/>
        <v>1.5559632000000001</v>
      </c>
      <c r="M71" s="11">
        <f t="shared" si="7"/>
        <v>0</v>
      </c>
      <c r="N71" s="11">
        <f t="shared" si="8"/>
        <v>1.3921776000000001</v>
      </c>
      <c r="O71" s="11">
        <f t="shared" si="9"/>
        <v>0</v>
      </c>
      <c r="P71" s="11">
        <f t="shared" si="10"/>
        <v>3.9605064180000003E-2</v>
      </c>
      <c r="Q71" s="11">
        <f t="shared" si="11"/>
        <v>0</v>
      </c>
      <c r="R71" s="415"/>
      <c r="S71" s="415"/>
    </row>
    <row r="72" spans="1:19" s="180" customFormat="1" ht="13.5" thickBot="1">
      <c r="A72" s="1328"/>
      <c r="B72" s="416"/>
      <c r="C72" s="297" t="s">
        <v>1107</v>
      </c>
      <c r="D72" s="575" t="s">
        <v>1108</v>
      </c>
      <c r="E72" s="177">
        <v>111.45</v>
      </c>
      <c r="F72" s="8">
        <f t="shared" si="0"/>
        <v>61.297500000000007</v>
      </c>
      <c r="G72" s="10">
        <f t="shared" si="1"/>
        <v>0</v>
      </c>
      <c r="H72" s="11">
        <f t="shared" si="2"/>
        <v>1.9229025750000004</v>
      </c>
      <c r="I72" s="11">
        <f t="shared" si="3"/>
        <v>0</v>
      </c>
      <c r="J72" s="11">
        <f t="shared" si="4"/>
        <v>1.6795515000000003</v>
      </c>
      <c r="K72" s="11">
        <f t="shared" si="5"/>
        <v>0</v>
      </c>
      <c r="L72" s="11">
        <f t="shared" si="6"/>
        <v>1.3975830000000002</v>
      </c>
      <c r="M72" s="11">
        <f t="shared" si="7"/>
        <v>0</v>
      </c>
      <c r="N72" s="11">
        <f t="shared" si="8"/>
        <v>1.2504690000000003</v>
      </c>
      <c r="O72" s="11">
        <f t="shared" si="9"/>
        <v>0</v>
      </c>
      <c r="P72" s="11">
        <f t="shared" si="10"/>
        <v>3.5573697637500006E-2</v>
      </c>
      <c r="Q72" s="11">
        <f t="shared" si="11"/>
        <v>0</v>
      </c>
      <c r="R72" s="415"/>
      <c r="S72" s="415"/>
    </row>
    <row r="73" spans="1:19" s="180" customFormat="1" ht="13.5" thickBot="1">
      <c r="A73" s="1328"/>
      <c r="B73" s="416"/>
      <c r="C73" s="297" t="s">
        <v>1123</v>
      </c>
      <c r="D73" s="575" t="s">
        <v>1124</v>
      </c>
      <c r="E73" s="177">
        <v>134.54</v>
      </c>
      <c r="F73" s="8">
        <f t="shared" si="0"/>
        <v>73.997</v>
      </c>
      <c r="G73" s="10">
        <f t="shared" si="1"/>
        <v>0</v>
      </c>
      <c r="H73" s="11">
        <f t="shared" si="2"/>
        <v>2.32128589</v>
      </c>
      <c r="I73" s="11">
        <f t="shared" si="3"/>
        <v>0</v>
      </c>
      <c r="J73" s="11">
        <f t="shared" si="4"/>
        <v>2.0275178</v>
      </c>
      <c r="K73" s="11">
        <f t="shared" si="5"/>
        <v>0</v>
      </c>
      <c r="L73" s="11">
        <f t="shared" si="6"/>
        <v>1.6871316000000001</v>
      </c>
      <c r="M73" s="11">
        <f t="shared" si="7"/>
        <v>0</v>
      </c>
      <c r="N73" s="11">
        <f t="shared" si="8"/>
        <v>1.5095388000000001</v>
      </c>
      <c r="O73" s="11">
        <f t="shared" si="9"/>
        <v>0</v>
      </c>
      <c r="P73" s="11">
        <f t="shared" si="10"/>
        <v>4.2943788965E-2</v>
      </c>
      <c r="Q73" s="11">
        <f t="shared" si="11"/>
        <v>0</v>
      </c>
      <c r="R73" s="415"/>
      <c r="S73" s="415"/>
    </row>
    <row r="74" spans="1:19" s="180" customFormat="1" ht="13.5" thickBot="1">
      <c r="A74" s="1328"/>
      <c r="B74" s="416"/>
      <c r="C74" s="297" t="s">
        <v>1105</v>
      </c>
      <c r="D74" s="575" t="s">
        <v>1106</v>
      </c>
      <c r="E74" s="177">
        <v>113.74</v>
      </c>
      <c r="F74" s="8">
        <f t="shared" si="0"/>
        <v>62.557000000000002</v>
      </c>
      <c r="G74" s="10">
        <f t="shared" si="1"/>
        <v>0</v>
      </c>
      <c r="H74" s="11">
        <f t="shared" si="2"/>
        <v>1.9624130900000003</v>
      </c>
      <c r="I74" s="11">
        <f t="shared" si="3"/>
        <v>0</v>
      </c>
      <c r="J74" s="11">
        <f t="shared" si="4"/>
        <v>1.7140618000000001</v>
      </c>
      <c r="K74" s="11">
        <f t="shared" si="5"/>
        <v>0</v>
      </c>
      <c r="L74" s="11">
        <f t="shared" si="6"/>
        <v>1.4262996000000001</v>
      </c>
      <c r="M74" s="11">
        <f t="shared" si="7"/>
        <v>0</v>
      </c>
      <c r="N74" s="11">
        <f t="shared" si="8"/>
        <v>1.2761628</v>
      </c>
      <c r="O74" s="11">
        <f t="shared" si="9"/>
        <v>0</v>
      </c>
      <c r="P74" s="11">
        <f t="shared" si="10"/>
        <v>3.6304642165000005E-2</v>
      </c>
      <c r="Q74" s="11">
        <f t="shared" si="11"/>
        <v>0</v>
      </c>
      <c r="R74" s="415"/>
      <c r="S74" s="415"/>
    </row>
    <row r="75" spans="1:19" s="180" customFormat="1" ht="13.5" thickBot="1">
      <c r="A75" s="1328"/>
      <c r="B75" s="416"/>
      <c r="C75" s="297" t="s">
        <v>1125</v>
      </c>
      <c r="D75" s="575" t="s">
        <v>1126</v>
      </c>
      <c r="E75" s="177">
        <v>124.34</v>
      </c>
      <c r="F75" s="8">
        <f t="shared" si="0"/>
        <v>68.387</v>
      </c>
      <c r="G75" s="10">
        <f t="shared" si="1"/>
        <v>0</v>
      </c>
      <c r="H75" s="11">
        <f t="shared" si="2"/>
        <v>2.1453001899999999</v>
      </c>
      <c r="I75" s="11">
        <f t="shared" si="3"/>
        <v>0</v>
      </c>
      <c r="J75" s="11">
        <f t="shared" si="4"/>
        <v>1.8738038000000001</v>
      </c>
      <c r="K75" s="11">
        <f t="shared" si="5"/>
        <v>0</v>
      </c>
      <c r="L75" s="11">
        <f t="shared" si="6"/>
        <v>1.5592236000000002</v>
      </c>
      <c r="M75" s="11">
        <f t="shared" si="7"/>
        <v>0</v>
      </c>
      <c r="N75" s="11">
        <f t="shared" si="8"/>
        <v>1.3950948000000001</v>
      </c>
      <c r="O75" s="11">
        <f t="shared" si="9"/>
        <v>0</v>
      </c>
      <c r="P75" s="11">
        <f t="shared" si="10"/>
        <v>3.9688053514999995E-2</v>
      </c>
      <c r="Q75" s="11">
        <f t="shared" si="11"/>
        <v>0</v>
      </c>
      <c r="R75" s="415"/>
      <c r="S75" s="415"/>
    </row>
    <row r="76" spans="1:19" s="180" customFormat="1" ht="13.5" thickBot="1">
      <c r="A76" s="1328"/>
      <c r="B76" s="416"/>
      <c r="C76" s="297" t="s">
        <v>1115</v>
      </c>
      <c r="D76" s="575" t="s">
        <v>1116</v>
      </c>
      <c r="E76" s="177">
        <v>118.33</v>
      </c>
      <c r="F76" s="8">
        <f t="shared" si="0"/>
        <v>65.081500000000005</v>
      </c>
      <c r="G76" s="10">
        <f t="shared" si="1"/>
        <v>0</v>
      </c>
      <c r="H76" s="11">
        <f t="shared" si="2"/>
        <v>2.0416066550000003</v>
      </c>
      <c r="I76" s="11">
        <f t="shared" si="3"/>
        <v>0</v>
      </c>
      <c r="J76" s="11">
        <f t="shared" si="4"/>
        <v>1.7832331000000001</v>
      </c>
      <c r="K76" s="11">
        <f t="shared" si="5"/>
        <v>0</v>
      </c>
      <c r="L76" s="11">
        <f t="shared" si="6"/>
        <v>1.4838582000000002</v>
      </c>
      <c r="M76" s="11">
        <f t="shared" si="7"/>
        <v>0</v>
      </c>
      <c r="N76" s="11">
        <f t="shared" si="8"/>
        <v>1.3276626000000002</v>
      </c>
      <c r="O76" s="11">
        <f t="shared" si="9"/>
        <v>0</v>
      </c>
      <c r="P76" s="11">
        <f t="shared" si="10"/>
        <v>3.7769723117500001E-2</v>
      </c>
      <c r="Q76" s="11">
        <f t="shared" si="11"/>
        <v>0</v>
      </c>
      <c r="R76" s="415"/>
      <c r="S76" s="415"/>
    </row>
    <row r="77" spans="1:19" s="180" customFormat="1" ht="13.5" thickBot="1">
      <c r="A77" s="1328"/>
      <c r="B77" s="416"/>
      <c r="C77" s="297" t="s">
        <v>1127</v>
      </c>
      <c r="D77" s="575" t="s">
        <v>1128</v>
      </c>
      <c r="E77" s="177">
        <v>122.49</v>
      </c>
      <c r="F77" s="8">
        <f t="shared" si="0"/>
        <v>67.369500000000002</v>
      </c>
      <c r="G77" s="10">
        <f t="shared" si="1"/>
        <v>0</v>
      </c>
      <c r="H77" s="11">
        <f t="shared" si="2"/>
        <v>2.1133812150000004</v>
      </c>
      <c r="I77" s="11">
        <f t="shared" si="3"/>
        <v>0</v>
      </c>
      <c r="J77" s="11">
        <f t="shared" si="4"/>
        <v>1.8459243000000001</v>
      </c>
      <c r="K77" s="11">
        <f t="shared" si="5"/>
        <v>0</v>
      </c>
      <c r="L77" s="11">
        <f t="shared" si="6"/>
        <v>1.5360246000000002</v>
      </c>
      <c r="M77" s="11">
        <f t="shared" si="7"/>
        <v>0</v>
      </c>
      <c r="N77" s="11">
        <f t="shared" si="8"/>
        <v>1.3743378000000002</v>
      </c>
      <c r="O77" s="11">
        <f t="shared" si="9"/>
        <v>0</v>
      </c>
      <c r="P77" s="11">
        <f t="shared" si="10"/>
        <v>3.9097552477500006E-2</v>
      </c>
      <c r="Q77" s="11">
        <f t="shared" si="11"/>
        <v>0</v>
      </c>
      <c r="R77" s="415"/>
      <c r="S77" s="415"/>
    </row>
    <row r="78" spans="1:19" s="180" customFormat="1" ht="13.5" thickBot="1">
      <c r="A78" s="1328"/>
      <c r="B78" s="416"/>
      <c r="C78" s="297" t="s">
        <v>1117</v>
      </c>
      <c r="D78" s="575" t="s">
        <v>1118</v>
      </c>
      <c r="E78" s="177">
        <v>115.93</v>
      </c>
      <c r="F78" s="8">
        <f t="shared" si="0"/>
        <v>63.761500000000012</v>
      </c>
      <c r="G78" s="10">
        <f t="shared" si="1"/>
        <v>0</v>
      </c>
      <c r="H78" s="11">
        <f t="shared" si="2"/>
        <v>2.0001982550000004</v>
      </c>
      <c r="I78" s="11">
        <f t="shared" si="3"/>
        <v>0</v>
      </c>
      <c r="J78" s="11">
        <f t="shared" si="4"/>
        <v>1.7470651000000004</v>
      </c>
      <c r="K78" s="11">
        <f t="shared" si="5"/>
        <v>0</v>
      </c>
      <c r="L78" s="11">
        <f t="shared" si="6"/>
        <v>1.4537622000000003</v>
      </c>
      <c r="M78" s="11">
        <f t="shared" si="7"/>
        <v>0</v>
      </c>
      <c r="N78" s="11">
        <f t="shared" si="8"/>
        <v>1.3007346000000004</v>
      </c>
      <c r="O78" s="11">
        <f t="shared" si="9"/>
        <v>0</v>
      </c>
      <c r="P78" s="11">
        <f t="shared" si="10"/>
        <v>3.7003667717500008E-2</v>
      </c>
      <c r="Q78" s="11">
        <f t="shared" si="11"/>
        <v>0</v>
      </c>
      <c r="R78" s="415"/>
      <c r="S78" s="415"/>
    </row>
    <row r="79" spans="1:19" s="180" customFormat="1" ht="13.5" thickBot="1">
      <c r="A79" s="1328"/>
      <c r="B79" s="416"/>
      <c r="C79" s="297" t="s">
        <v>1109</v>
      </c>
      <c r="D79" s="575" t="s">
        <v>1110</v>
      </c>
      <c r="E79" s="177">
        <v>105.33</v>
      </c>
      <c r="F79" s="8">
        <f t="shared" si="0"/>
        <v>57.931500000000007</v>
      </c>
      <c r="G79" s="10">
        <f t="shared" si="1"/>
        <v>0</v>
      </c>
      <c r="H79" s="11">
        <f t="shared" si="2"/>
        <v>1.8173111550000003</v>
      </c>
      <c r="I79" s="11">
        <f t="shared" si="3"/>
        <v>0</v>
      </c>
      <c r="J79" s="11">
        <f t="shared" si="4"/>
        <v>1.5873231000000003</v>
      </c>
      <c r="K79" s="11">
        <f t="shared" si="5"/>
        <v>0</v>
      </c>
      <c r="L79" s="11">
        <f t="shared" si="6"/>
        <v>1.3208382000000003</v>
      </c>
      <c r="M79" s="11">
        <f t="shared" si="7"/>
        <v>0</v>
      </c>
      <c r="N79" s="11">
        <f t="shared" si="8"/>
        <v>1.1818026000000001</v>
      </c>
      <c r="O79" s="11">
        <f t="shared" si="9"/>
        <v>0</v>
      </c>
      <c r="P79" s="11">
        <f t="shared" si="10"/>
        <v>3.3620256367500004E-2</v>
      </c>
      <c r="Q79" s="11">
        <f t="shared" si="11"/>
        <v>0</v>
      </c>
      <c r="R79" s="415"/>
      <c r="S79" s="415"/>
    </row>
    <row r="80" spans="1:19" s="180" customFormat="1" ht="13.5" thickBot="1">
      <c r="A80" s="1328"/>
      <c r="B80" s="416"/>
      <c r="C80" s="797" t="s">
        <v>1129</v>
      </c>
      <c r="D80" s="960" t="s">
        <v>1130</v>
      </c>
      <c r="E80" s="172">
        <v>115.12</v>
      </c>
      <c r="F80" s="8">
        <f t="shared" si="0"/>
        <v>63.31600000000001</v>
      </c>
      <c r="G80" s="10">
        <f t="shared" si="1"/>
        <v>0</v>
      </c>
      <c r="H80" s="11">
        <f t="shared" si="2"/>
        <v>1.9862229200000003</v>
      </c>
      <c r="I80" s="11">
        <f t="shared" si="3"/>
        <v>0</v>
      </c>
      <c r="J80" s="11">
        <f t="shared" si="4"/>
        <v>1.7348584000000002</v>
      </c>
      <c r="K80" s="11">
        <f t="shared" si="5"/>
        <v>0</v>
      </c>
      <c r="L80" s="11">
        <f t="shared" si="6"/>
        <v>1.4436048000000004</v>
      </c>
      <c r="M80" s="11">
        <f t="shared" si="7"/>
        <v>0</v>
      </c>
      <c r="N80" s="11">
        <f t="shared" si="8"/>
        <v>1.2916464000000003</v>
      </c>
      <c r="O80" s="11">
        <f t="shared" si="9"/>
        <v>0</v>
      </c>
      <c r="P80" s="11">
        <f t="shared" si="10"/>
        <v>3.6745124020000006E-2</v>
      </c>
      <c r="Q80" s="11">
        <f t="shared" si="11"/>
        <v>0</v>
      </c>
      <c r="R80" s="415"/>
      <c r="S80" s="415"/>
    </row>
    <row r="81" spans="1:19" s="180" customFormat="1" ht="13.5" thickBot="1">
      <c r="A81" s="1328"/>
      <c r="B81" s="416"/>
      <c r="C81" s="297" t="s">
        <v>1119</v>
      </c>
      <c r="D81" s="575" t="s">
        <v>1120</v>
      </c>
      <c r="E81" s="177">
        <v>103.1</v>
      </c>
      <c r="F81" s="8">
        <f t="shared" si="0"/>
        <v>56.704999999999998</v>
      </c>
      <c r="G81" s="10">
        <f t="shared" si="1"/>
        <v>0</v>
      </c>
      <c r="H81" s="11">
        <f t="shared" si="2"/>
        <v>1.7788358500000001</v>
      </c>
      <c r="I81" s="11">
        <f t="shared" si="3"/>
        <v>0</v>
      </c>
      <c r="J81" s="11">
        <f t="shared" si="4"/>
        <v>1.553717</v>
      </c>
      <c r="K81" s="11">
        <f t="shared" si="5"/>
        <v>0</v>
      </c>
      <c r="L81" s="11">
        <f t="shared" si="6"/>
        <v>1.2928740000000001</v>
      </c>
      <c r="M81" s="11">
        <f t="shared" si="7"/>
        <v>0</v>
      </c>
      <c r="N81" s="11">
        <f t="shared" si="8"/>
        <v>1.156782</v>
      </c>
      <c r="O81" s="11">
        <f t="shared" si="9"/>
        <v>0</v>
      </c>
      <c r="P81" s="11">
        <f t="shared" si="10"/>
        <v>3.2908463225000004E-2</v>
      </c>
      <c r="Q81" s="11">
        <f t="shared" si="11"/>
        <v>0</v>
      </c>
      <c r="R81" s="415"/>
      <c r="S81" s="415"/>
    </row>
    <row r="82" spans="1:19" s="180" customFormat="1" ht="13.5" thickBot="1">
      <c r="A82" s="1328"/>
      <c r="B82" s="416"/>
      <c r="C82" s="797" t="s">
        <v>1155</v>
      </c>
      <c r="D82" s="960" t="s">
        <v>1156</v>
      </c>
      <c r="E82" s="172">
        <v>99.44</v>
      </c>
      <c r="F82" s="8">
        <f t="shared" si="0"/>
        <v>54.692</v>
      </c>
      <c r="G82" s="10">
        <f t="shared" si="1"/>
        <v>0</v>
      </c>
      <c r="H82" s="11">
        <f t="shared" si="2"/>
        <v>1.7156880400000001</v>
      </c>
      <c r="I82" s="11">
        <f t="shared" si="3"/>
        <v>0</v>
      </c>
      <c r="J82" s="11">
        <f t="shared" si="4"/>
        <v>1.4985608000000001</v>
      </c>
      <c r="K82" s="11">
        <f t="shared" si="5"/>
        <v>0</v>
      </c>
      <c r="L82" s="11">
        <f t="shared" si="6"/>
        <v>1.2469776000000001</v>
      </c>
      <c r="M82" s="11">
        <f t="shared" si="7"/>
        <v>0</v>
      </c>
      <c r="N82" s="11">
        <f t="shared" si="8"/>
        <v>1.1157168000000002</v>
      </c>
      <c r="O82" s="11">
        <f t="shared" si="9"/>
        <v>0</v>
      </c>
      <c r="P82" s="11">
        <f t="shared" si="10"/>
        <v>3.1740228740000001E-2</v>
      </c>
      <c r="Q82" s="11">
        <f t="shared" si="11"/>
        <v>0</v>
      </c>
      <c r="R82" s="415"/>
      <c r="S82" s="415"/>
    </row>
    <row r="83" spans="1:19" s="180" customFormat="1" ht="13.5" thickBot="1">
      <c r="A83" s="1328"/>
      <c r="B83" s="416"/>
      <c r="C83" s="797" t="s">
        <v>1157</v>
      </c>
      <c r="D83" s="960" t="s">
        <v>1158</v>
      </c>
      <c r="E83" s="172">
        <v>99.44</v>
      </c>
      <c r="F83" s="8">
        <f t="shared" si="0"/>
        <v>54.692</v>
      </c>
      <c r="G83" s="9">
        <f t="shared" si="1"/>
        <v>0</v>
      </c>
      <c r="H83" s="52">
        <f t="shared" si="2"/>
        <v>1.7156880400000001</v>
      </c>
      <c r="I83" s="11">
        <f t="shared" si="3"/>
        <v>0</v>
      </c>
      <c r="J83" s="11">
        <f t="shared" si="4"/>
        <v>1.4985608000000001</v>
      </c>
      <c r="K83" s="11">
        <f t="shared" si="5"/>
        <v>0</v>
      </c>
      <c r="L83" s="11">
        <f t="shared" si="6"/>
        <v>1.2469776000000001</v>
      </c>
      <c r="M83" s="11">
        <f t="shared" si="7"/>
        <v>0</v>
      </c>
      <c r="N83" s="11">
        <f t="shared" si="8"/>
        <v>1.1157168000000002</v>
      </c>
      <c r="O83" s="11">
        <f t="shared" si="9"/>
        <v>0</v>
      </c>
      <c r="P83" s="11">
        <f t="shared" si="10"/>
        <v>3.1740228740000001E-2</v>
      </c>
      <c r="Q83" s="11">
        <f t="shared" si="11"/>
        <v>0</v>
      </c>
      <c r="R83" s="415"/>
      <c r="S83" s="415"/>
    </row>
    <row r="84" spans="1:19" s="180" customFormat="1" ht="13.5" thickBot="1">
      <c r="A84" s="1328"/>
      <c r="B84" s="416"/>
      <c r="C84" s="797" t="s">
        <v>1159</v>
      </c>
      <c r="D84" s="960" t="s">
        <v>1160</v>
      </c>
      <c r="E84" s="172">
        <v>99.44</v>
      </c>
      <c r="F84" s="8">
        <f t="shared" si="0"/>
        <v>54.692</v>
      </c>
      <c r="G84" s="9">
        <f t="shared" si="1"/>
        <v>0</v>
      </c>
      <c r="H84" s="52">
        <f t="shared" si="2"/>
        <v>1.7156880400000001</v>
      </c>
      <c r="I84" s="11">
        <f t="shared" si="3"/>
        <v>0</v>
      </c>
      <c r="J84" s="11">
        <f t="shared" si="4"/>
        <v>1.4985608000000001</v>
      </c>
      <c r="K84" s="11">
        <f t="shared" si="5"/>
        <v>0</v>
      </c>
      <c r="L84" s="11">
        <f t="shared" si="6"/>
        <v>1.2469776000000001</v>
      </c>
      <c r="M84" s="11">
        <f t="shared" si="7"/>
        <v>0</v>
      </c>
      <c r="N84" s="11">
        <f t="shared" si="8"/>
        <v>1.1157168000000002</v>
      </c>
      <c r="O84" s="11">
        <f t="shared" si="9"/>
        <v>0</v>
      </c>
      <c r="P84" s="11">
        <f t="shared" si="10"/>
        <v>3.1740228740000001E-2</v>
      </c>
      <c r="Q84" s="11">
        <f t="shared" si="11"/>
        <v>0</v>
      </c>
      <c r="R84" s="415"/>
      <c r="S84" s="415"/>
    </row>
    <row r="85" spans="1:19" s="180" customFormat="1" ht="13.5" thickBot="1">
      <c r="A85" s="1328"/>
      <c r="B85" s="416"/>
      <c r="C85" s="173" t="s">
        <v>4114</v>
      </c>
      <c r="D85" s="960" t="s">
        <v>1367</v>
      </c>
      <c r="E85" s="172">
        <v>1739.34</v>
      </c>
      <c r="F85" s="8">
        <f t="shared" si="0"/>
        <v>956.63700000000006</v>
      </c>
      <c r="G85" s="9">
        <f t="shared" si="1"/>
        <v>0</v>
      </c>
      <c r="H85" s="52">
        <f t="shared" si="2"/>
        <v>30.009702690000005</v>
      </c>
      <c r="I85" s="11">
        <f t="shared" si="3"/>
        <v>0</v>
      </c>
      <c r="J85" s="11">
        <f t="shared" si="4"/>
        <v>26.211853800000004</v>
      </c>
      <c r="K85" s="11">
        <f t="shared" si="5"/>
        <v>0</v>
      </c>
      <c r="L85" s="11">
        <f t="shared" si="6"/>
        <v>21.811323600000001</v>
      </c>
      <c r="M85" s="11">
        <f t="shared" si="7"/>
        <v>0</v>
      </c>
      <c r="N85" s="11">
        <f t="shared" si="8"/>
        <v>19.515394800000003</v>
      </c>
      <c r="O85" s="11">
        <f t="shared" si="9"/>
        <v>0</v>
      </c>
      <c r="P85" s="11">
        <f t="shared" si="10"/>
        <v>0.55517949976500003</v>
      </c>
      <c r="Q85" s="11">
        <f t="shared" si="11"/>
        <v>0</v>
      </c>
      <c r="R85" s="415"/>
      <c r="S85" s="415"/>
    </row>
    <row r="86" spans="1:19" s="180" customFormat="1" ht="13.5" thickBot="1">
      <c r="A86" s="1328"/>
      <c r="B86" s="416"/>
      <c r="C86" s="297" t="s">
        <v>1201</v>
      </c>
      <c r="D86" s="575" t="s">
        <v>1202</v>
      </c>
      <c r="E86" s="177">
        <v>25001.78</v>
      </c>
      <c r="F86" s="8">
        <f t="shared" si="0"/>
        <v>13750.979000000001</v>
      </c>
      <c r="G86" s="9">
        <f t="shared" si="1"/>
        <v>0</v>
      </c>
      <c r="H86" s="52">
        <f t="shared" si="2"/>
        <v>431.36821123000004</v>
      </c>
      <c r="I86" s="11">
        <f t="shared" si="3"/>
        <v>0</v>
      </c>
      <c r="J86" s="11">
        <f t="shared" si="4"/>
        <v>376.77682460000005</v>
      </c>
      <c r="K86" s="11">
        <f t="shared" si="5"/>
        <v>0</v>
      </c>
      <c r="L86" s="11">
        <f t="shared" si="6"/>
        <v>313.52232120000002</v>
      </c>
      <c r="M86" s="11">
        <f t="shared" si="7"/>
        <v>0</v>
      </c>
      <c r="N86" s="11">
        <f t="shared" si="8"/>
        <v>280.51997160000002</v>
      </c>
      <c r="O86" s="11">
        <f t="shared" si="9"/>
        <v>0</v>
      </c>
      <c r="P86" s="11">
        <f t="shared" si="10"/>
        <v>7.9803119077550004</v>
      </c>
      <c r="Q86" s="11">
        <f t="shared" si="11"/>
        <v>0</v>
      </c>
      <c r="R86" s="415"/>
      <c r="S86" s="415"/>
    </row>
    <row r="87" spans="1:19" s="180" customFormat="1" ht="13.5" thickBot="1">
      <c r="A87" s="1328"/>
      <c r="B87" s="416"/>
      <c r="C87" s="297" t="s">
        <v>1203</v>
      </c>
      <c r="D87" s="575" t="s">
        <v>1204</v>
      </c>
      <c r="E87" s="177">
        <v>15459.44</v>
      </c>
      <c r="F87" s="8">
        <f t="shared" si="0"/>
        <v>8502.6920000000009</v>
      </c>
      <c r="G87" s="9">
        <f t="shared" si="1"/>
        <v>0</v>
      </c>
      <c r="H87" s="52">
        <f t="shared" si="2"/>
        <v>266.72944804000002</v>
      </c>
      <c r="I87" s="11">
        <f t="shared" si="3"/>
        <v>0</v>
      </c>
      <c r="J87" s="11">
        <f t="shared" si="4"/>
        <v>232.97376080000004</v>
      </c>
      <c r="K87" s="11">
        <f t="shared" si="5"/>
        <v>0</v>
      </c>
      <c r="L87" s="11">
        <f t="shared" si="6"/>
        <v>193.86137760000003</v>
      </c>
      <c r="M87" s="11">
        <f t="shared" si="7"/>
        <v>0</v>
      </c>
      <c r="N87" s="11">
        <f t="shared" si="8"/>
        <v>173.45491680000003</v>
      </c>
      <c r="O87" s="11">
        <f t="shared" si="9"/>
        <v>0</v>
      </c>
      <c r="P87" s="11">
        <f t="shared" si="10"/>
        <v>4.9344947887400004</v>
      </c>
      <c r="Q87" s="11">
        <f t="shared" si="11"/>
        <v>0</v>
      </c>
      <c r="R87" s="415"/>
      <c r="S87" s="415"/>
    </row>
    <row r="88" spans="1:19" s="180" customFormat="1" ht="13.5" thickBot="1">
      <c r="A88" s="1328"/>
      <c r="B88" s="416"/>
      <c r="C88" s="891" t="s">
        <v>1403</v>
      </c>
      <c r="D88" s="575" t="s">
        <v>4028</v>
      </c>
      <c r="E88" s="177">
        <v>1042.54</v>
      </c>
      <c r="F88" s="8">
        <f t="shared" si="0"/>
        <v>573.39700000000005</v>
      </c>
      <c r="G88" s="9">
        <f t="shared" si="1"/>
        <v>0</v>
      </c>
      <c r="H88" s="52">
        <f t="shared" si="2"/>
        <v>17.987463890000004</v>
      </c>
      <c r="I88" s="11">
        <f t="shared" si="3"/>
        <v>0</v>
      </c>
      <c r="J88" s="11">
        <f t="shared" si="4"/>
        <v>15.711077800000002</v>
      </c>
      <c r="K88" s="11">
        <f t="shared" si="5"/>
        <v>0</v>
      </c>
      <c r="L88" s="11">
        <f t="shared" si="6"/>
        <v>13.073451600000002</v>
      </c>
      <c r="M88" s="11">
        <f t="shared" si="7"/>
        <v>0</v>
      </c>
      <c r="N88" s="11">
        <f t="shared" si="8"/>
        <v>11.697298800000002</v>
      </c>
      <c r="O88" s="11">
        <f t="shared" si="9"/>
        <v>0</v>
      </c>
      <c r="P88" s="11">
        <f t="shared" si="10"/>
        <v>0.33276808196500007</v>
      </c>
      <c r="Q88" s="11">
        <f t="shared" si="11"/>
        <v>0</v>
      </c>
      <c r="R88" s="415"/>
      <c r="S88" s="415"/>
    </row>
    <row r="89" spans="1:19" s="180" customFormat="1" ht="13.5" thickBot="1">
      <c r="A89" s="1328"/>
      <c r="B89" s="416"/>
      <c r="C89" s="297">
        <v>45112781</v>
      </c>
      <c r="D89" s="575" t="s">
        <v>4029</v>
      </c>
      <c r="E89" s="177">
        <v>7870.72</v>
      </c>
      <c r="F89" s="8">
        <f t="shared" si="0"/>
        <v>4328.8960000000006</v>
      </c>
      <c r="G89" s="9">
        <f t="shared" si="1"/>
        <v>0</v>
      </c>
      <c r="H89" s="52">
        <f t="shared" si="2"/>
        <v>135.79746752000003</v>
      </c>
      <c r="I89" s="11">
        <f t="shared" si="3"/>
        <v>0</v>
      </c>
      <c r="J89" s="11">
        <f t="shared" si="4"/>
        <v>118.61175040000002</v>
      </c>
      <c r="K89" s="11">
        <f t="shared" si="5"/>
        <v>0</v>
      </c>
      <c r="L89" s="11">
        <f t="shared" si="6"/>
        <v>98.698828800000015</v>
      </c>
      <c r="M89" s="11">
        <f t="shared" si="7"/>
        <v>0</v>
      </c>
      <c r="N89" s="11">
        <f t="shared" si="8"/>
        <v>88.309478400000017</v>
      </c>
      <c r="O89" s="11">
        <f t="shared" si="9"/>
        <v>0</v>
      </c>
      <c r="P89" s="11">
        <f t="shared" si="10"/>
        <v>2.5122531491200002</v>
      </c>
      <c r="Q89" s="11">
        <f t="shared" si="11"/>
        <v>0</v>
      </c>
      <c r="R89" s="415"/>
      <c r="S89" s="415"/>
    </row>
    <row r="90" spans="1:19" s="180" customFormat="1" ht="13.5" thickBot="1">
      <c r="A90" s="1328"/>
      <c r="B90" s="416"/>
      <c r="C90" s="297" t="s">
        <v>1205</v>
      </c>
      <c r="D90" s="575" t="s">
        <v>1206</v>
      </c>
      <c r="E90" s="177">
        <v>7804.2</v>
      </c>
      <c r="F90" s="8">
        <f t="shared" si="0"/>
        <v>4292.3100000000004</v>
      </c>
      <c r="G90" s="9">
        <f t="shared" si="1"/>
        <v>0</v>
      </c>
      <c r="H90" s="52">
        <f t="shared" si="2"/>
        <v>134.64976470000002</v>
      </c>
      <c r="I90" s="11">
        <f t="shared" si="3"/>
        <v>0</v>
      </c>
      <c r="J90" s="11">
        <f t="shared" si="4"/>
        <v>117.60929400000002</v>
      </c>
      <c r="K90" s="11">
        <f t="shared" si="5"/>
        <v>0</v>
      </c>
      <c r="L90" s="11">
        <f t="shared" si="6"/>
        <v>97.864668000000009</v>
      </c>
      <c r="M90" s="11">
        <f t="shared" si="7"/>
        <v>0</v>
      </c>
      <c r="N90" s="11">
        <f t="shared" si="8"/>
        <v>87.563124000000016</v>
      </c>
      <c r="O90" s="11">
        <f t="shared" si="9"/>
        <v>0</v>
      </c>
      <c r="P90" s="11">
        <f t="shared" si="10"/>
        <v>2.49102064695</v>
      </c>
      <c r="Q90" s="11">
        <f t="shared" si="11"/>
        <v>0</v>
      </c>
      <c r="R90" s="415"/>
      <c r="S90" s="415"/>
    </row>
    <row r="91" spans="1:19" s="180" customFormat="1" ht="13.5" thickBot="1">
      <c r="A91" s="1328"/>
      <c r="B91" s="416"/>
      <c r="C91" s="797" t="s">
        <v>1405</v>
      </c>
      <c r="D91" s="960" t="s">
        <v>4030</v>
      </c>
      <c r="E91" s="172">
        <v>7449.96</v>
      </c>
      <c r="F91" s="8">
        <f t="shared" si="0"/>
        <v>4097.4780000000001</v>
      </c>
      <c r="G91" s="9">
        <f t="shared" si="1"/>
        <v>0</v>
      </c>
      <c r="H91" s="52">
        <f t="shared" si="2"/>
        <v>128.53788486000002</v>
      </c>
      <c r="I91" s="11">
        <f t="shared" si="3"/>
        <v>0</v>
      </c>
      <c r="J91" s="11">
        <f t="shared" si="4"/>
        <v>112.27089720000001</v>
      </c>
      <c r="K91" s="11">
        <f t="shared" si="5"/>
        <v>0</v>
      </c>
      <c r="L91" s="11">
        <f t="shared" si="6"/>
        <v>93.422498400000009</v>
      </c>
      <c r="M91" s="11">
        <f t="shared" si="7"/>
        <v>0</v>
      </c>
      <c r="N91" s="11">
        <f t="shared" si="8"/>
        <v>83.588551200000012</v>
      </c>
      <c r="O91" s="11">
        <f t="shared" si="9"/>
        <v>0</v>
      </c>
      <c r="P91" s="11">
        <f t="shared" si="10"/>
        <v>2.3779508699100003</v>
      </c>
      <c r="Q91" s="11">
        <f t="shared" si="11"/>
        <v>0</v>
      </c>
      <c r="R91" s="415"/>
      <c r="S91" s="415"/>
    </row>
    <row r="92" spans="1:19" s="180" customFormat="1" ht="13.5" thickBot="1">
      <c r="A92" s="1328"/>
      <c r="B92" s="416"/>
      <c r="C92" s="797" t="s">
        <v>1167</v>
      </c>
      <c r="D92" s="960" t="s">
        <v>1168</v>
      </c>
      <c r="E92" s="172">
        <v>24604.13</v>
      </c>
      <c r="F92" s="8">
        <f t="shared" si="0"/>
        <v>13532.271500000003</v>
      </c>
      <c r="G92" s="9">
        <f t="shared" si="1"/>
        <v>0</v>
      </c>
      <c r="H92" s="52">
        <f t="shared" si="2"/>
        <v>424.50735695500009</v>
      </c>
      <c r="I92" s="11">
        <f t="shared" si="3"/>
        <v>0</v>
      </c>
      <c r="J92" s="11">
        <f t="shared" si="4"/>
        <v>370.78423910000009</v>
      </c>
      <c r="K92" s="11">
        <f t="shared" si="5"/>
        <v>0</v>
      </c>
      <c r="L92" s="11">
        <f t="shared" si="6"/>
        <v>308.53579020000006</v>
      </c>
      <c r="M92" s="11">
        <f t="shared" si="7"/>
        <v>0</v>
      </c>
      <c r="N92" s="11">
        <f t="shared" si="8"/>
        <v>276.05833860000007</v>
      </c>
      <c r="O92" s="11">
        <f t="shared" si="9"/>
        <v>0</v>
      </c>
      <c r="P92" s="11">
        <f t="shared" si="10"/>
        <v>7.8533861036675017</v>
      </c>
      <c r="Q92" s="11">
        <f t="shared" si="11"/>
        <v>0</v>
      </c>
      <c r="R92" s="415"/>
      <c r="S92" s="415"/>
    </row>
    <row r="93" spans="1:19" s="180" customFormat="1" ht="13.5" thickBot="1">
      <c r="A93" s="1328"/>
      <c r="B93" s="416"/>
      <c r="C93" s="297">
        <v>7723000</v>
      </c>
      <c r="D93" s="575" t="s">
        <v>1131</v>
      </c>
      <c r="E93" s="177">
        <v>50817.919999999998</v>
      </c>
      <c r="F93" s="8">
        <f t="shared" si="0"/>
        <v>27949.856</v>
      </c>
      <c r="G93" s="9">
        <f t="shared" si="1"/>
        <v>0</v>
      </c>
      <c r="H93" s="52">
        <f t="shared" si="2"/>
        <v>876.78698272000008</v>
      </c>
      <c r="I93" s="11">
        <f t="shared" si="3"/>
        <v>0</v>
      </c>
      <c r="J93" s="11">
        <f t="shared" si="4"/>
        <v>765.82605439999998</v>
      </c>
      <c r="K93" s="11">
        <f t="shared" si="5"/>
        <v>0</v>
      </c>
      <c r="L93" s="11">
        <f t="shared" si="6"/>
        <v>637.25671680000005</v>
      </c>
      <c r="M93" s="11">
        <f t="shared" si="7"/>
        <v>0</v>
      </c>
      <c r="N93" s="11">
        <f t="shared" si="8"/>
        <v>570.17706240000007</v>
      </c>
      <c r="O93" s="11">
        <f t="shared" si="9"/>
        <v>0</v>
      </c>
      <c r="P93" s="11">
        <f t="shared" si="10"/>
        <v>16.220559180320002</v>
      </c>
      <c r="Q93" s="11">
        <f t="shared" si="11"/>
        <v>0</v>
      </c>
      <c r="R93" s="415"/>
      <c r="S93" s="415"/>
    </row>
    <row r="94" spans="1:19" s="180" customFormat="1" ht="13.5" thickBot="1">
      <c r="A94" s="1328"/>
      <c r="B94" s="416"/>
      <c r="C94" s="297" t="s">
        <v>1148</v>
      </c>
      <c r="D94" s="575" t="s">
        <v>1149</v>
      </c>
      <c r="E94" s="177">
        <v>14005.99</v>
      </c>
      <c r="F94" s="8">
        <f t="shared" si="0"/>
        <v>7703.2945000000009</v>
      </c>
      <c r="G94" s="9">
        <f t="shared" si="1"/>
        <v>0</v>
      </c>
      <c r="H94" s="52">
        <f t="shared" si="2"/>
        <v>241.65234846500005</v>
      </c>
      <c r="I94" s="11">
        <f t="shared" si="3"/>
        <v>0</v>
      </c>
      <c r="J94" s="11">
        <f t="shared" si="4"/>
        <v>211.07026930000004</v>
      </c>
      <c r="K94" s="11">
        <f t="shared" si="5"/>
        <v>0</v>
      </c>
      <c r="L94" s="11">
        <f t="shared" si="6"/>
        <v>175.63511460000004</v>
      </c>
      <c r="M94" s="11">
        <f t="shared" si="7"/>
        <v>0</v>
      </c>
      <c r="N94" s="11">
        <f t="shared" si="8"/>
        <v>157.14720780000002</v>
      </c>
      <c r="O94" s="11">
        <f t="shared" si="9"/>
        <v>0</v>
      </c>
      <c r="P94" s="11">
        <f t="shared" si="10"/>
        <v>4.4705684466025009</v>
      </c>
      <c r="Q94" s="11">
        <f t="shared" si="11"/>
        <v>0</v>
      </c>
      <c r="R94" s="415"/>
      <c r="S94" s="415"/>
    </row>
    <row r="95" spans="1:19" s="180" customFormat="1" ht="13.5" thickBot="1">
      <c r="A95" s="1328"/>
      <c r="B95" s="416"/>
      <c r="C95" s="297" t="s">
        <v>1209</v>
      </c>
      <c r="D95" s="575" t="s">
        <v>1210</v>
      </c>
      <c r="E95" s="177">
        <v>3082.28</v>
      </c>
      <c r="F95" s="8">
        <f t="shared" si="0"/>
        <v>1695.2540000000004</v>
      </c>
      <c r="G95" s="9">
        <f t="shared" si="1"/>
        <v>0</v>
      </c>
      <c r="H95" s="52">
        <f t="shared" si="2"/>
        <v>53.180117980000013</v>
      </c>
      <c r="I95" s="11">
        <f t="shared" si="3"/>
        <v>0</v>
      </c>
      <c r="J95" s="11">
        <f t="shared" si="4"/>
        <v>46.449959600000014</v>
      </c>
      <c r="K95" s="11">
        <f t="shared" si="5"/>
        <v>0</v>
      </c>
      <c r="L95" s="11">
        <f t="shared" si="6"/>
        <v>38.651791200000012</v>
      </c>
      <c r="M95" s="11">
        <f t="shared" si="7"/>
        <v>0</v>
      </c>
      <c r="N95" s="11">
        <f t="shared" si="8"/>
        <v>34.58318160000001</v>
      </c>
      <c r="O95" s="11">
        <f t="shared" si="9"/>
        <v>0</v>
      </c>
      <c r="P95" s="11">
        <f t="shared" si="10"/>
        <v>0.98383218263000016</v>
      </c>
      <c r="Q95" s="11">
        <f t="shared" si="11"/>
        <v>0</v>
      </c>
      <c r="R95" s="415"/>
      <c r="S95" s="415"/>
    </row>
    <row r="96" spans="1:19" s="180" customFormat="1" ht="13.5" thickBot="1">
      <c r="A96" s="1328"/>
      <c r="B96" s="416"/>
      <c r="C96" s="797" t="s">
        <v>1370</v>
      </c>
      <c r="D96" s="960" t="s">
        <v>1371</v>
      </c>
      <c r="E96" s="172">
        <v>95931.99</v>
      </c>
      <c r="F96" s="8">
        <f t="shared" si="0"/>
        <v>52762.594500000007</v>
      </c>
      <c r="G96" s="10">
        <f t="shared" si="1"/>
        <v>0</v>
      </c>
      <c r="H96" s="11">
        <f t="shared" si="2"/>
        <v>1655.1625894650003</v>
      </c>
      <c r="I96" s="11">
        <f t="shared" si="3"/>
        <v>0</v>
      </c>
      <c r="J96" s="11">
        <f t="shared" si="4"/>
        <v>1445.6950893000003</v>
      </c>
      <c r="K96" s="11">
        <f t="shared" si="5"/>
        <v>0</v>
      </c>
      <c r="L96" s="11">
        <f t="shared" si="6"/>
        <v>1202.9871546000002</v>
      </c>
      <c r="M96" s="11">
        <f t="shared" si="7"/>
        <v>0</v>
      </c>
      <c r="N96" s="11">
        <f t="shared" si="8"/>
        <v>1076.3569278000002</v>
      </c>
      <c r="O96" s="11">
        <f t="shared" si="9"/>
        <v>0</v>
      </c>
      <c r="P96" s="11">
        <f t="shared" si="10"/>
        <v>30.620507905102503</v>
      </c>
      <c r="Q96" s="11">
        <f t="shared" si="11"/>
        <v>0</v>
      </c>
      <c r="R96" s="415"/>
      <c r="S96" s="415"/>
    </row>
    <row r="97" spans="1:19" s="180" customFormat="1" ht="13.5" thickBot="1">
      <c r="A97" s="1328"/>
      <c r="B97" s="416"/>
      <c r="C97" s="297" t="s">
        <v>4115</v>
      </c>
      <c r="D97" s="575" t="s">
        <v>4116</v>
      </c>
      <c r="E97" s="177">
        <v>5200</v>
      </c>
      <c r="F97" s="8">
        <f t="shared" si="0"/>
        <v>2860.0000000000005</v>
      </c>
      <c r="G97" s="9">
        <f t="shared" si="1"/>
        <v>0</v>
      </c>
      <c r="H97" s="52">
        <f t="shared" si="2"/>
        <v>89.718200000000024</v>
      </c>
      <c r="I97" s="11">
        <f t="shared" si="3"/>
        <v>0</v>
      </c>
      <c r="J97" s="11">
        <f t="shared" si="4"/>
        <v>78.364000000000019</v>
      </c>
      <c r="K97" s="11">
        <f t="shared" si="5"/>
        <v>0</v>
      </c>
      <c r="L97" s="11">
        <f t="shared" si="6"/>
        <v>65.208000000000013</v>
      </c>
      <c r="M97" s="11">
        <f t="shared" si="7"/>
        <v>0</v>
      </c>
      <c r="N97" s="11">
        <f t="shared" si="8"/>
        <v>58.344000000000015</v>
      </c>
      <c r="O97" s="11">
        <f t="shared" si="9"/>
        <v>0</v>
      </c>
      <c r="P97" s="11">
        <f t="shared" si="10"/>
        <v>1.6597867000000004</v>
      </c>
      <c r="Q97" s="11">
        <f t="shared" si="11"/>
        <v>0</v>
      </c>
      <c r="R97" s="415"/>
      <c r="S97" s="415"/>
    </row>
    <row r="98" spans="1:19" s="175" customFormat="1" ht="13.5" thickBot="1">
      <c r="A98" s="1328"/>
      <c r="B98" s="416"/>
      <c r="C98" s="797" t="s">
        <v>4117</v>
      </c>
      <c r="D98" s="960" t="s">
        <v>4118</v>
      </c>
      <c r="E98" s="172">
        <v>45636.39</v>
      </c>
      <c r="F98" s="8">
        <f t="shared" si="0"/>
        <v>25100.014500000001</v>
      </c>
      <c r="G98" s="9">
        <f t="shared" si="1"/>
        <v>0</v>
      </c>
      <c r="H98" s="52">
        <f t="shared" si="2"/>
        <v>787.38745486500011</v>
      </c>
      <c r="I98" s="11">
        <f t="shared" si="3"/>
        <v>0</v>
      </c>
      <c r="J98" s="11">
        <f t="shared" si="4"/>
        <v>687.74039730000004</v>
      </c>
      <c r="K98" s="11">
        <f t="shared" si="5"/>
        <v>0</v>
      </c>
      <c r="L98" s="11">
        <f t="shared" si="6"/>
        <v>572.28033060000007</v>
      </c>
      <c r="M98" s="11">
        <f t="shared" si="7"/>
        <v>0</v>
      </c>
      <c r="N98" s="11">
        <f t="shared" si="8"/>
        <v>512.04029580000008</v>
      </c>
      <c r="O98" s="11">
        <f t="shared" si="9"/>
        <v>0</v>
      </c>
      <c r="P98" s="11">
        <f t="shared" si="10"/>
        <v>14.566667915002501</v>
      </c>
      <c r="Q98" s="11">
        <f t="shared" si="11"/>
        <v>0</v>
      </c>
      <c r="R98" s="892"/>
      <c r="S98" s="892"/>
    </row>
    <row r="99" spans="1:19" s="175" customFormat="1" ht="13.5" thickBot="1">
      <c r="A99" s="1328"/>
      <c r="B99" s="416"/>
      <c r="C99" s="297" t="s">
        <v>4119</v>
      </c>
      <c r="D99" s="575" t="s">
        <v>4120</v>
      </c>
      <c r="E99" s="177">
        <v>5200</v>
      </c>
      <c r="F99" s="8">
        <f t="shared" si="0"/>
        <v>2860.0000000000005</v>
      </c>
      <c r="G99" s="9">
        <f t="shared" si="1"/>
        <v>0</v>
      </c>
      <c r="H99" s="52">
        <f t="shared" si="2"/>
        <v>89.718200000000024</v>
      </c>
      <c r="I99" s="11">
        <f t="shared" si="3"/>
        <v>0</v>
      </c>
      <c r="J99" s="11">
        <f t="shared" si="4"/>
        <v>78.364000000000019</v>
      </c>
      <c r="K99" s="11">
        <f t="shared" si="5"/>
        <v>0</v>
      </c>
      <c r="L99" s="11">
        <f t="shared" si="6"/>
        <v>65.208000000000013</v>
      </c>
      <c r="M99" s="11">
        <f t="shared" si="7"/>
        <v>0</v>
      </c>
      <c r="N99" s="11">
        <f t="shared" si="8"/>
        <v>58.344000000000015</v>
      </c>
      <c r="O99" s="11">
        <f t="shared" si="9"/>
        <v>0</v>
      </c>
      <c r="P99" s="11">
        <f t="shared" si="10"/>
        <v>1.6597867000000004</v>
      </c>
      <c r="Q99" s="11">
        <f t="shared" si="11"/>
        <v>0</v>
      </c>
      <c r="R99" s="892"/>
      <c r="S99" s="892"/>
    </row>
    <row r="100" spans="1:19" s="175" customFormat="1" ht="13.5" thickBot="1">
      <c r="A100" s="1328"/>
      <c r="B100" s="416"/>
      <c r="C100" s="297" t="s">
        <v>4121</v>
      </c>
      <c r="D100" s="575" t="s">
        <v>4122</v>
      </c>
      <c r="E100" s="177">
        <v>5200</v>
      </c>
      <c r="F100" s="8">
        <f t="shared" si="0"/>
        <v>2860.0000000000005</v>
      </c>
      <c r="G100" s="9">
        <f t="shared" si="1"/>
        <v>0</v>
      </c>
      <c r="H100" s="52">
        <f t="shared" si="2"/>
        <v>89.718200000000024</v>
      </c>
      <c r="I100" s="11">
        <f t="shared" si="3"/>
        <v>0</v>
      </c>
      <c r="J100" s="11">
        <f t="shared" si="4"/>
        <v>78.364000000000019</v>
      </c>
      <c r="K100" s="11">
        <f t="shared" si="5"/>
        <v>0</v>
      </c>
      <c r="L100" s="11">
        <f t="shared" si="6"/>
        <v>65.208000000000013</v>
      </c>
      <c r="M100" s="11">
        <f t="shared" si="7"/>
        <v>0</v>
      </c>
      <c r="N100" s="11">
        <f t="shared" si="8"/>
        <v>58.344000000000015</v>
      </c>
      <c r="O100" s="11">
        <f t="shared" si="9"/>
        <v>0</v>
      </c>
      <c r="P100" s="11">
        <f t="shared" si="10"/>
        <v>1.6597867000000004</v>
      </c>
      <c r="Q100" s="11">
        <f t="shared" si="11"/>
        <v>0</v>
      </c>
      <c r="R100" s="892"/>
      <c r="S100" s="892"/>
    </row>
    <row r="101" spans="1:19" s="180" customFormat="1" ht="13.5" thickBot="1">
      <c r="A101" s="1328"/>
      <c r="B101" s="416"/>
      <c r="C101" s="797" t="s">
        <v>4123</v>
      </c>
      <c r="D101" s="960" t="s">
        <v>4124</v>
      </c>
      <c r="E101" s="172">
        <v>9995</v>
      </c>
      <c r="F101" s="8">
        <f t="shared" si="0"/>
        <v>5497.25</v>
      </c>
      <c r="G101" s="9">
        <f t="shared" si="1"/>
        <v>0</v>
      </c>
      <c r="H101" s="52">
        <f t="shared" si="2"/>
        <v>172.44873250000001</v>
      </c>
      <c r="I101" s="11">
        <f t="shared" si="3"/>
        <v>0</v>
      </c>
      <c r="J101" s="11">
        <f t="shared" si="4"/>
        <v>150.62465</v>
      </c>
      <c r="K101" s="11">
        <f t="shared" si="5"/>
        <v>0</v>
      </c>
      <c r="L101" s="11">
        <f t="shared" si="6"/>
        <v>125.3373</v>
      </c>
      <c r="M101" s="11">
        <f t="shared" si="7"/>
        <v>0</v>
      </c>
      <c r="N101" s="11">
        <f t="shared" si="8"/>
        <v>112.1439</v>
      </c>
      <c r="O101" s="11">
        <f t="shared" si="9"/>
        <v>0</v>
      </c>
      <c r="P101" s="11">
        <f t="shared" si="10"/>
        <v>3.1903015512500001</v>
      </c>
      <c r="Q101" s="11">
        <f t="shared" si="11"/>
        <v>0</v>
      </c>
      <c r="R101" s="415"/>
      <c r="S101" s="415"/>
    </row>
    <row r="102" spans="1:19" s="180" customFormat="1" ht="13.5" thickBot="1">
      <c r="A102" s="1328"/>
      <c r="B102" s="416"/>
      <c r="C102" s="797" t="s">
        <v>4125</v>
      </c>
      <c r="D102" s="960" t="s">
        <v>4126</v>
      </c>
      <c r="E102" s="172">
        <v>49558.77</v>
      </c>
      <c r="F102" s="8">
        <f t="shared" si="0"/>
        <v>27257.323500000002</v>
      </c>
      <c r="G102" s="9">
        <f t="shared" si="1"/>
        <v>0</v>
      </c>
      <c r="H102" s="52">
        <f t="shared" si="2"/>
        <v>855.06223819500008</v>
      </c>
      <c r="I102" s="11">
        <f t="shared" si="3"/>
        <v>0</v>
      </c>
      <c r="J102" s="11">
        <f t="shared" si="4"/>
        <v>746.85066390000009</v>
      </c>
      <c r="K102" s="11">
        <f t="shared" si="5"/>
        <v>0</v>
      </c>
      <c r="L102" s="11">
        <f t="shared" si="6"/>
        <v>621.46697580000011</v>
      </c>
      <c r="M102" s="11">
        <f t="shared" si="7"/>
        <v>0</v>
      </c>
      <c r="N102" s="11">
        <f t="shared" si="8"/>
        <v>556.04939940000008</v>
      </c>
      <c r="O102" s="11">
        <f t="shared" si="9"/>
        <v>0</v>
      </c>
      <c r="P102" s="11">
        <f t="shared" si="10"/>
        <v>15.818651406607501</v>
      </c>
      <c r="Q102" s="11">
        <f t="shared" si="11"/>
        <v>0</v>
      </c>
      <c r="R102" s="415"/>
      <c r="S102" s="415"/>
    </row>
    <row r="103" spans="1:19" s="180" customFormat="1" ht="13.5" thickBot="1">
      <c r="A103" s="1328"/>
      <c r="B103" s="416"/>
      <c r="C103" s="797" t="s">
        <v>4127</v>
      </c>
      <c r="D103" s="960" t="s">
        <v>4128</v>
      </c>
      <c r="E103" s="172">
        <v>90485.47</v>
      </c>
      <c r="F103" s="8">
        <f t="shared" si="0"/>
        <v>49767.008500000004</v>
      </c>
      <c r="G103" s="10">
        <f t="shared" si="1"/>
        <v>0</v>
      </c>
      <c r="H103" s="11">
        <f t="shared" si="2"/>
        <v>1561.1910566450001</v>
      </c>
      <c r="I103" s="11">
        <f t="shared" si="3"/>
        <v>0</v>
      </c>
      <c r="J103" s="11">
        <f t="shared" si="4"/>
        <v>1363.6160329000002</v>
      </c>
      <c r="K103" s="11">
        <f t="shared" si="5"/>
        <v>0</v>
      </c>
      <c r="L103" s="11">
        <f t="shared" si="6"/>
        <v>1134.6877938</v>
      </c>
      <c r="M103" s="11">
        <f t="shared" si="7"/>
        <v>0</v>
      </c>
      <c r="N103" s="11">
        <f t="shared" si="8"/>
        <v>1015.2469734000001</v>
      </c>
      <c r="O103" s="11">
        <f t="shared" si="9"/>
        <v>0</v>
      </c>
      <c r="P103" s="11">
        <f t="shared" si="10"/>
        <v>28.882034547932502</v>
      </c>
      <c r="Q103" s="11">
        <f t="shared" si="11"/>
        <v>0</v>
      </c>
      <c r="R103" s="415"/>
      <c r="S103" s="415"/>
    </row>
    <row r="104" spans="1:19" s="180" customFormat="1" ht="13.5" thickBot="1">
      <c r="A104" s="1328"/>
      <c r="B104" s="416"/>
      <c r="C104" s="797" t="s">
        <v>1311</v>
      </c>
      <c r="D104" s="960" t="s">
        <v>1154</v>
      </c>
      <c r="E104" s="172">
        <v>2061.2600000000002</v>
      </c>
      <c r="F104" s="8">
        <f t="shared" ref="F104:F159" si="24">E104*(1-45%)</f>
        <v>1133.6930000000002</v>
      </c>
      <c r="G104" s="10">
        <f t="shared" ref="G104:G159" si="25">F104*B104</f>
        <v>0</v>
      </c>
      <c r="H104" s="11">
        <f t="shared" ref="H104:H159" si="26">F104*0.03137</f>
        <v>35.563949410000006</v>
      </c>
      <c r="I104" s="11">
        <f t="shared" ref="I104:I159" si="27">H104*B104</f>
        <v>0</v>
      </c>
      <c r="J104" s="11">
        <f t="shared" ref="J104:J134" si="28">F104*0.0274</f>
        <v>31.063188200000006</v>
      </c>
      <c r="K104" s="11">
        <f t="shared" ref="K104:K159" si="29">J104*B104</f>
        <v>0</v>
      </c>
      <c r="L104" s="11">
        <f t="shared" ref="L104:L134" si="30">F104*0.0228</f>
        <v>25.848200400000007</v>
      </c>
      <c r="M104" s="11">
        <f t="shared" ref="M104:M159" si="31">L104*B104</f>
        <v>0</v>
      </c>
      <c r="N104" s="11">
        <f t="shared" ref="N104:N159" si="32">F104*0.0204</f>
        <v>23.127337200000007</v>
      </c>
      <c r="O104" s="11">
        <f t="shared" ref="O104:O159" si="33">N104*B104</f>
        <v>0</v>
      </c>
      <c r="P104" s="11">
        <f t="shared" ref="P104:P121" si="34">H104*0.0185</f>
        <v>0.65793306408500007</v>
      </c>
      <c r="Q104" s="11">
        <f t="shared" ref="Q104:Q159" si="35">P104*B104</f>
        <v>0</v>
      </c>
      <c r="R104" s="415"/>
      <c r="S104" s="415"/>
    </row>
    <row r="105" spans="1:19" s="180" customFormat="1" ht="13.5" thickBot="1">
      <c r="A105" s="1328"/>
      <c r="B105" s="416"/>
      <c r="C105" s="173" t="s">
        <v>4129</v>
      </c>
      <c r="D105" s="960" t="s">
        <v>4130</v>
      </c>
      <c r="E105" s="172">
        <v>18031.2</v>
      </c>
      <c r="F105" s="8">
        <f t="shared" si="24"/>
        <v>9917.1600000000017</v>
      </c>
      <c r="G105" s="10">
        <f t="shared" si="25"/>
        <v>0</v>
      </c>
      <c r="H105" s="11">
        <f t="shared" si="26"/>
        <v>311.10130920000006</v>
      </c>
      <c r="I105" s="11">
        <f t="shared" si="27"/>
        <v>0</v>
      </c>
      <c r="J105" s="11">
        <f t="shared" si="28"/>
        <v>271.73018400000007</v>
      </c>
      <c r="K105" s="11">
        <f t="shared" si="29"/>
        <v>0</v>
      </c>
      <c r="L105" s="11">
        <f t="shared" si="30"/>
        <v>226.11124800000005</v>
      </c>
      <c r="M105" s="11">
        <f t="shared" si="31"/>
        <v>0</v>
      </c>
      <c r="N105" s="11">
        <f t="shared" si="32"/>
        <v>202.31006400000004</v>
      </c>
      <c r="O105" s="11">
        <f t="shared" si="33"/>
        <v>0</v>
      </c>
      <c r="P105" s="11">
        <f t="shared" si="34"/>
        <v>5.7553742202000011</v>
      </c>
      <c r="Q105" s="11">
        <f t="shared" si="35"/>
        <v>0</v>
      </c>
      <c r="R105" s="415"/>
      <c r="S105" s="415"/>
    </row>
    <row r="106" spans="1:19" s="180" customFormat="1" ht="13.5" thickBot="1">
      <c r="A106" s="1328"/>
      <c r="B106" s="416"/>
      <c r="C106" s="797" t="s">
        <v>4131</v>
      </c>
      <c r="D106" s="960" t="s">
        <v>4132</v>
      </c>
      <c r="E106" s="172">
        <v>13543.19</v>
      </c>
      <c r="F106" s="8">
        <f t="shared" si="24"/>
        <v>7448.7545000000009</v>
      </c>
      <c r="G106" s="10">
        <f t="shared" si="25"/>
        <v>0</v>
      </c>
      <c r="H106" s="11">
        <f t="shared" si="26"/>
        <v>233.66742866500005</v>
      </c>
      <c r="I106" s="11">
        <f t="shared" si="27"/>
        <v>0</v>
      </c>
      <c r="J106" s="11">
        <f t="shared" si="28"/>
        <v>204.09587330000002</v>
      </c>
      <c r="K106" s="11">
        <f t="shared" si="29"/>
        <v>0</v>
      </c>
      <c r="L106" s="11">
        <f t="shared" si="30"/>
        <v>169.83160260000002</v>
      </c>
      <c r="M106" s="11">
        <f t="shared" si="31"/>
        <v>0</v>
      </c>
      <c r="N106" s="11">
        <f t="shared" si="32"/>
        <v>151.95459180000003</v>
      </c>
      <c r="O106" s="11">
        <f t="shared" si="33"/>
        <v>0</v>
      </c>
      <c r="P106" s="11">
        <f t="shared" si="34"/>
        <v>4.3228474303025006</v>
      </c>
      <c r="Q106" s="11">
        <f t="shared" si="35"/>
        <v>0</v>
      </c>
      <c r="R106" s="415"/>
      <c r="S106" s="415"/>
    </row>
    <row r="107" spans="1:19" s="180" customFormat="1" ht="13.5" thickBot="1">
      <c r="A107" s="1328"/>
      <c r="B107" s="416"/>
      <c r="C107" s="797" t="s">
        <v>4133</v>
      </c>
      <c r="D107" s="960" t="s">
        <v>4134</v>
      </c>
      <c r="E107" s="172">
        <v>22023.759999999998</v>
      </c>
      <c r="F107" s="8">
        <f t="shared" si="24"/>
        <v>12113.067999999999</v>
      </c>
      <c r="G107" s="10">
        <f t="shared" si="25"/>
        <v>0</v>
      </c>
      <c r="H107" s="11">
        <f t="shared" si="26"/>
        <v>379.98694316000001</v>
      </c>
      <c r="I107" s="11">
        <f t="shared" si="27"/>
        <v>0</v>
      </c>
      <c r="J107" s="11">
        <f t="shared" si="28"/>
        <v>331.89806319999997</v>
      </c>
      <c r="K107" s="11">
        <f t="shared" si="29"/>
        <v>0</v>
      </c>
      <c r="L107" s="11">
        <f t="shared" si="30"/>
        <v>276.17795039999999</v>
      </c>
      <c r="M107" s="11">
        <f t="shared" si="31"/>
        <v>0</v>
      </c>
      <c r="N107" s="11">
        <f t="shared" si="32"/>
        <v>247.10658720000001</v>
      </c>
      <c r="O107" s="11">
        <f t="shared" si="33"/>
        <v>0</v>
      </c>
      <c r="P107" s="11">
        <f t="shared" si="34"/>
        <v>7.02975844846</v>
      </c>
      <c r="Q107" s="11">
        <f t="shared" si="35"/>
        <v>0</v>
      </c>
      <c r="R107" s="415"/>
      <c r="S107" s="415"/>
    </row>
    <row r="108" spans="1:19" s="180" customFormat="1" ht="13.5" thickBot="1">
      <c r="A108" s="1328"/>
      <c r="B108" s="873"/>
      <c r="C108" s="173" t="s">
        <v>4135</v>
      </c>
      <c r="D108" s="960" t="s">
        <v>4136</v>
      </c>
      <c r="E108" s="174">
        <v>34034.01</v>
      </c>
      <c r="F108" s="52">
        <f t="shared" si="24"/>
        <v>18718.705500000004</v>
      </c>
      <c r="G108" s="54">
        <f t="shared" si="25"/>
        <v>0</v>
      </c>
      <c r="H108" s="11">
        <f t="shared" si="26"/>
        <v>587.20579153500012</v>
      </c>
      <c r="I108" s="11">
        <f t="shared" si="27"/>
        <v>0</v>
      </c>
      <c r="J108" s="11">
        <f t="shared" si="28"/>
        <v>512.89253070000007</v>
      </c>
      <c r="K108" s="11">
        <f t="shared" si="29"/>
        <v>0</v>
      </c>
      <c r="L108" s="11">
        <f t="shared" si="30"/>
        <v>426.78648540000012</v>
      </c>
      <c r="M108" s="11">
        <f t="shared" si="31"/>
        <v>0</v>
      </c>
      <c r="N108" s="11">
        <f t="shared" si="32"/>
        <v>381.86159220000008</v>
      </c>
      <c r="O108" s="11">
        <f t="shared" si="33"/>
        <v>0</v>
      </c>
      <c r="P108" s="11">
        <f t="shared" si="34"/>
        <v>10.863307143397501</v>
      </c>
      <c r="Q108" s="11">
        <f t="shared" si="35"/>
        <v>0</v>
      </c>
      <c r="R108" s="415"/>
      <c r="S108" s="415"/>
    </row>
    <row r="109" spans="1:19" s="180" customFormat="1" ht="13.5" thickBot="1">
      <c r="A109" s="1328"/>
      <c r="B109" s="416"/>
      <c r="C109" s="891" t="s">
        <v>1221</v>
      </c>
      <c r="D109" s="575" t="s">
        <v>1222</v>
      </c>
      <c r="E109" s="177">
        <v>1479.88</v>
      </c>
      <c r="F109" s="8">
        <f t="shared" si="24"/>
        <v>813.93400000000008</v>
      </c>
      <c r="G109" s="10">
        <f t="shared" si="25"/>
        <v>0</v>
      </c>
      <c r="H109" s="11">
        <f t="shared" si="26"/>
        <v>25.533109580000005</v>
      </c>
      <c r="I109" s="11">
        <f t="shared" si="27"/>
        <v>0</v>
      </c>
      <c r="J109" s="11">
        <f t="shared" si="28"/>
        <v>22.301791600000001</v>
      </c>
      <c r="K109" s="11">
        <f t="shared" si="29"/>
        <v>0</v>
      </c>
      <c r="L109" s="11">
        <f t="shared" si="30"/>
        <v>18.557695200000001</v>
      </c>
      <c r="M109" s="11">
        <f t="shared" si="31"/>
        <v>0</v>
      </c>
      <c r="N109" s="11">
        <f t="shared" si="32"/>
        <v>16.604253600000003</v>
      </c>
      <c r="O109" s="11">
        <f t="shared" si="33"/>
        <v>0</v>
      </c>
      <c r="P109" s="11">
        <f t="shared" si="34"/>
        <v>0.47236252723000005</v>
      </c>
      <c r="Q109" s="11">
        <f t="shared" si="35"/>
        <v>0</v>
      </c>
      <c r="R109" s="415"/>
      <c r="S109" s="415"/>
    </row>
    <row r="110" spans="1:19" s="180" customFormat="1" ht="13.5" thickBot="1">
      <c r="A110" s="1328"/>
      <c r="B110" s="416"/>
      <c r="C110" s="297" t="s">
        <v>3992</v>
      </c>
      <c r="D110" s="575" t="s">
        <v>3993</v>
      </c>
      <c r="E110" s="177">
        <v>1100</v>
      </c>
      <c r="F110" s="8">
        <f t="shared" si="24"/>
        <v>605</v>
      </c>
      <c r="G110" s="10">
        <f t="shared" si="25"/>
        <v>0</v>
      </c>
      <c r="H110" s="11">
        <f t="shared" si="26"/>
        <v>18.978850000000001</v>
      </c>
      <c r="I110" s="11">
        <f t="shared" si="27"/>
        <v>0</v>
      </c>
      <c r="J110" s="11">
        <f t="shared" si="28"/>
        <v>16.577000000000002</v>
      </c>
      <c r="K110" s="11">
        <f t="shared" si="29"/>
        <v>0</v>
      </c>
      <c r="L110" s="11">
        <f t="shared" si="30"/>
        <v>13.794</v>
      </c>
      <c r="M110" s="11">
        <f t="shared" si="31"/>
        <v>0</v>
      </c>
      <c r="N110" s="11">
        <f t="shared" si="32"/>
        <v>12.342000000000001</v>
      </c>
      <c r="O110" s="11">
        <f t="shared" si="33"/>
        <v>0</v>
      </c>
      <c r="P110" s="11">
        <f t="shared" si="34"/>
        <v>0.35110872500000001</v>
      </c>
      <c r="Q110" s="11">
        <f t="shared" si="35"/>
        <v>0</v>
      </c>
      <c r="R110" s="415"/>
      <c r="S110" s="415"/>
    </row>
    <row r="111" spans="1:19" s="180" customFormat="1" ht="13.5" thickBot="1">
      <c r="A111" s="1328"/>
      <c r="B111" s="416"/>
      <c r="C111" s="173" t="s">
        <v>3994</v>
      </c>
      <c r="D111" s="960" t="s">
        <v>3995</v>
      </c>
      <c r="E111" s="172">
        <v>1100</v>
      </c>
      <c r="F111" s="8">
        <f t="shared" si="24"/>
        <v>605</v>
      </c>
      <c r="G111" s="10">
        <f t="shared" si="25"/>
        <v>0</v>
      </c>
      <c r="H111" s="11">
        <f t="shared" si="26"/>
        <v>18.978850000000001</v>
      </c>
      <c r="I111" s="11">
        <f t="shared" si="27"/>
        <v>0</v>
      </c>
      <c r="J111" s="11">
        <f t="shared" si="28"/>
        <v>16.577000000000002</v>
      </c>
      <c r="K111" s="11">
        <f t="shared" si="29"/>
        <v>0</v>
      </c>
      <c r="L111" s="11">
        <f t="shared" si="30"/>
        <v>13.794</v>
      </c>
      <c r="M111" s="11">
        <f t="shared" si="31"/>
        <v>0</v>
      </c>
      <c r="N111" s="11">
        <f t="shared" si="32"/>
        <v>12.342000000000001</v>
      </c>
      <c r="O111" s="11">
        <f t="shared" si="33"/>
        <v>0</v>
      </c>
      <c r="P111" s="11">
        <f t="shared" si="34"/>
        <v>0.35110872500000001</v>
      </c>
      <c r="Q111" s="11">
        <f t="shared" si="35"/>
        <v>0</v>
      </c>
      <c r="R111" s="415"/>
      <c r="S111" s="415"/>
    </row>
    <row r="112" spans="1:19" s="180" customFormat="1" ht="13.5" thickBot="1">
      <c r="A112" s="1328"/>
      <c r="B112" s="416"/>
      <c r="C112" s="797" t="s">
        <v>3996</v>
      </c>
      <c r="D112" s="960" t="s">
        <v>3997</v>
      </c>
      <c r="E112" s="172">
        <v>550</v>
      </c>
      <c r="F112" s="8">
        <f t="shared" ref="F112:F117" si="36">E112*(1-45%)</f>
        <v>302.5</v>
      </c>
      <c r="G112" s="10">
        <f t="shared" ref="G112:G117" si="37">F112*B112</f>
        <v>0</v>
      </c>
      <c r="H112" s="11">
        <f t="shared" ref="H112:H117" si="38">F112*0.03137</f>
        <v>9.4894250000000007</v>
      </c>
      <c r="I112" s="11">
        <f t="shared" ref="I112:I117" si="39">H112*B112</f>
        <v>0</v>
      </c>
      <c r="J112" s="11">
        <f t="shared" ref="J112:J117" si="40">F112*0.0274</f>
        <v>8.2885000000000009</v>
      </c>
      <c r="K112" s="11">
        <f t="shared" ref="K112:K117" si="41">J112*B112</f>
        <v>0</v>
      </c>
      <c r="L112" s="11">
        <f t="shared" ref="L112:L117" si="42">F112*0.0228</f>
        <v>6.8970000000000002</v>
      </c>
      <c r="M112" s="11">
        <f t="shared" ref="M112:M117" si="43">L112*B112</f>
        <v>0</v>
      </c>
      <c r="N112" s="11">
        <f t="shared" ref="N112:N117" si="44">F112*0.0204</f>
        <v>6.1710000000000003</v>
      </c>
      <c r="O112" s="11">
        <f t="shared" ref="O112:O117" si="45">N112*B112</f>
        <v>0</v>
      </c>
      <c r="P112" s="11">
        <f>H112*0.0185</f>
        <v>0.17555436250000001</v>
      </c>
      <c r="Q112" s="11">
        <f t="shared" ref="Q112:Q117" si="46">P112*B112</f>
        <v>0</v>
      </c>
      <c r="R112" s="415"/>
      <c r="S112" s="415"/>
    </row>
    <row r="113" spans="1:19" s="180" customFormat="1" ht="13.5" thickBot="1">
      <c r="A113" s="1328"/>
      <c r="B113" s="416"/>
      <c r="C113" s="797" t="s">
        <v>1223</v>
      </c>
      <c r="D113" s="960" t="s">
        <v>1224</v>
      </c>
      <c r="E113" s="172">
        <v>1177.18</v>
      </c>
      <c r="F113" s="8">
        <f t="shared" si="36"/>
        <v>647.44900000000007</v>
      </c>
      <c r="G113" s="10">
        <f t="shared" si="37"/>
        <v>0</v>
      </c>
      <c r="H113" s="11">
        <f t="shared" si="38"/>
        <v>20.310475130000004</v>
      </c>
      <c r="I113" s="11">
        <f t="shared" si="39"/>
        <v>0</v>
      </c>
      <c r="J113" s="11">
        <f t="shared" si="40"/>
        <v>17.740102600000004</v>
      </c>
      <c r="K113" s="11">
        <f t="shared" si="41"/>
        <v>0</v>
      </c>
      <c r="L113" s="11">
        <f t="shared" si="42"/>
        <v>14.761837200000002</v>
      </c>
      <c r="M113" s="11">
        <f t="shared" si="43"/>
        <v>0</v>
      </c>
      <c r="N113" s="11">
        <f t="shared" si="44"/>
        <v>13.207959600000002</v>
      </c>
      <c r="O113" s="11">
        <f t="shared" si="45"/>
        <v>0</v>
      </c>
      <c r="P113" s="11">
        <f>H113*0.0185</f>
        <v>0.37574378990500007</v>
      </c>
      <c r="Q113" s="11">
        <f t="shared" si="46"/>
        <v>0</v>
      </c>
      <c r="R113" s="415"/>
      <c r="S113" s="415"/>
    </row>
    <row r="114" spans="1:19" s="180" customFormat="1" ht="13.5" thickBot="1">
      <c r="A114" s="1328"/>
      <c r="B114" s="416"/>
      <c r="C114" s="797" t="s">
        <v>1312</v>
      </c>
      <c r="D114" s="960" t="s">
        <v>3998</v>
      </c>
      <c r="E114" s="172">
        <v>384.77</v>
      </c>
      <c r="F114" s="8">
        <f t="shared" si="36"/>
        <v>211.62350000000001</v>
      </c>
      <c r="G114" s="10">
        <f t="shared" si="37"/>
        <v>0</v>
      </c>
      <c r="H114" s="11">
        <f t="shared" si="38"/>
        <v>6.6386291950000009</v>
      </c>
      <c r="I114" s="11">
        <f t="shared" si="39"/>
        <v>0</v>
      </c>
      <c r="J114" s="11">
        <f t="shared" si="40"/>
        <v>5.7984838999999999</v>
      </c>
      <c r="K114" s="11">
        <f t="shared" si="41"/>
        <v>0</v>
      </c>
      <c r="L114" s="11">
        <f t="shared" si="42"/>
        <v>4.8250158000000001</v>
      </c>
      <c r="M114" s="11">
        <f t="shared" si="43"/>
        <v>0</v>
      </c>
      <c r="N114" s="11">
        <f t="shared" si="44"/>
        <v>4.3171194000000002</v>
      </c>
      <c r="O114" s="11">
        <f t="shared" si="45"/>
        <v>0</v>
      </c>
      <c r="P114" s="11">
        <f>H114*0.0185</f>
        <v>0.12281464010750001</v>
      </c>
      <c r="Q114" s="11">
        <f t="shared" si="46"/>
        <v>0</v>
      </c>
      <c r="R114" s="415"/>
      <c r="S114" s="415"/>
    </row>
    <row r="115" spans="1:19" s="180" customFormat="1" ht="13.5" thickBot="1">
      <c r="A115" s="1328"/>
      <c r="B115" s="416"/>
      <c r="C115" s="173" t="s">
        <v>1225</v>
      </c>
      <c r="D115" s="960" t="s">
        <v>1226</v>
      </c>
      <c r="E115" s="172">
        <v>27684.06</v>
      </c>
      <c r="F115" s="8">
        <f t="shared" si="36"/>
        <v>15226.233000000002</v>
      </c>
      <c r="G115" s="10">
        <f t="shared" si="37"/>
        <v>0</v>
      </c>
      <c r="H115" s="11">
        <f t="shared" si="38"/>
        <v>477.64692921000011</v>
      </c>
      <c r="I115" s="11">
        <f t="shared" si="39"/>
        <v>0</v>
      </c>
      <c r="J115" s="11">
        <f t="shared" si="40"/>
        <v>417.19878420000009</v>
      </c>
      <c r="K115" s="11">
        <f t="shared" si="41"/>
        <v>0</v>
      </c>
      <c r="L115" s="11">
        <f t="shared" si="42"/>
        <v>347.15811240000005</v>
      </c>
      <c r="M115" s="11">
        <f t="shared" si="43"/>
        <v>0</v>
      </c>
      <c r="N115" s="11">
        <f t="shared" si="44"/>
        <v>310.61515320000007</v>
      </c>
      <c r="O115" s="11">
        <f t="shared" si="45"/>
        <v>0</v>
      </c>
      <c r="P115" s="11">
        <f>H115*0.0185</f>
        <v>8.836468190385002</v>
      </c>
      <c r="Q115" s="11">
        <f t="shared" si="46"/>
        <v>0</v>
      </c>
      <c r="R115" s="415"/>
      <c r="S115" s="415"/>
    </row>
    <row r="116" spans="1:19" s="180" customFormat="1" ht="13.5" thickBot="1">
      <c r="A116" s="1328"/>
      <c r="B116" s="416"/>
      <c r="C116" s="173" t="s">
        <v>4137</v>
      </c>
      <c r="D116" s="960" t="s">
        <v>1379</v>
      </c>
      <c r="E116" s="172">
        <v>5627.62</v>
      </c>
      <c r="F116" s="8">
        <f t="shared" si="36"/>
        <v>3095.1910000000003</v>
      </c>
      <c r="G116" s="9">
        <f t="shared" si="37"/>
        <v>0</v>
      </c>
      <c r="H116" s="52">
        <f t="shared" si="38"/>
        <v>97.096141670000009</v>
      </c>
      <c r="I116" s="11">
        <f t="shared" si="39"/>
        <v>0</v>
      </c>
      <c r="J116" s="11">
        <f t="shared" si="40"/>
        <v>84.808233400000006</v>
      </c>
      <c r="K116" s="11">
        <f t="shared" si="41"/>
        <v>0</v>
      </c>
      <c r="L116" s="11">
        <f t="shared" si="42"/>
        <v>70.570354800000004</v>
      </c>
      <c r="M116" s="11">
        <f t="shared" si="43"/>
        <v>0</v>
      </c>
      <c r="N116" s="11">
        <f t="shared" si="44"/>
        <v>63.141896400000007</v>
      </c>
      <c r="O116" s="11">
        <f t="shared" si="45"/>
        <v>0</v>
      </c>
      <c r="P116" s="11">
        <f>F116*0.0185</f>
        <v>57.261033500000003</v>
      </c>
      <c r="Q116" s="11">
        <f t="shared" si="46"/>
        <v>0</v>
      </c>
      <c r="R116" s="415"/>
      <c r="S116" s="415"/>
    </row>
    <row r="117" spans="1:19" s="180" customFormat="1" ht="13.5" thickBot="1">
      <c r="A117" s="1328"/>
      <c r="B117" s="416"/>
      <c r="C117" s="797" t="s">
        <v>1138</v>
      </c>
      <c r="D117" s="960" t="s">
        <v>1139</v>
      </c>
      <c r="E117" s="172">
        <v>588.59</v>
      </c>
      <c r="F117" s="8">
        <f t="shared" si="36"/>
        <v>323.72450000000003</v>
      </c>
      <c r="G117" s="9">
        <f t="shared" si="37"/>
        <v>0</v>
      </c>
      <c r="H117" s="52">
        <f t="shared" si="38"/>
        <v>10.155237565000002</v>
      </c>
      <c r="I117" s="11">
        <f t="shared" si="39"/>
        <v>0</v>
      </c>
      <c r="J117" s="11">
        <f t="shared" si="40"/>
        <v>8.8700513000000019</v>
      </c>
      <c r="K117" s="11">
        <f t="shared" si="41"/>
        <v>0</v>
      </c>
      <c r="L117" s="11">
        <f t="shared" si="42"/>
        <v>7.3809186000000011</v>
      </c>
      <c r="M117" s="11">
        <f t="shared" si="43"/>
        <v>0</v>
      </c>
      <c r="N117" s="11">
        <f t="shared" si="44"/>
        <v>6.6039798000000012</v>
      </c>
      <c r="O117" s="11">
        <f t="shared" si="45"/>
        <v>0</v>
      </c>
      <c r="P117" s="11">
        <f>H117*0.0185</f>
        <v>0.18787189495250003</v>
      </c>
      <c r="Q117" s="11">
        <f t="shared" si="46"/>
        <v>0</v>
      </c>
      <c r="R117" s="415"/>
      <c r="S117" s="415"/>
    </row>
    <row r="118" spans="1:19" s="180" customFormat="1" ht="13.5" thickBot="1">
      <c r="A118" s="1328"/>
      <c r="B118" s="416"/>
      <c r="C118" s="797" t="s">
        <v>1142</v>
      </c>
      <c r="D118" s="960" t="s">
        <v>1143</v>
      </c>
      <c r="E118" s="172">
        <v>1883.48</v>
      </c>
      <c r="F118" s="8">
        <f t="shared" si="24"/>
        <v>1035.914</v>
      </c>
      <c r="G118" s="10">
        <f t="shared" si="25"/>
        <v>0</v>
      </c>
      <c r="H118" s="11">
        <f t="shared" si="26"/>
        <v>32.496622180000003</v>
      </c>
      <c r="I118" s="11">
        <f t="shared" si="27"/>
        <v>0</v>
      </c>
      <c r="J118" s="11">
        <f t="shared" si="28"/>
        <v>28.384043600000002</v>
      </c>
      <c r="K118" s="11">
        <f t="shared" si="29"/>
        <v>0</v>
      </c>
      <c r="L118" s="11">
        <f t="shared" si="30"/>
        <v>23.6188392</v>
      </c>
      <c r="M118" s="11">
        <f t="shared" si="31"/>
        <v>0</v>
      </c>
      <c r="N118" s="11">
        <f t="shared" si="32"/>
        <v>21.1326456</v>
      </c>
      <c r="O118" s="11">
        <f t="shared" si="33"/>
        <v>0</v>
      </c>
      <c r="P118" s="11">
        <f t="shared" si="34"/>
        <v>0.60118751033000006</v>
      </c>
      <c r="Q118" s="11">
        <f t="shared" si="35"/>
        <v>0</v>
      </c>
      <c r="R118" s="415"/>
      <c r="S118" s="415"/>
    </row>
    <row r="119" spans="1:19" s="180" customFormat="1" ht="13.5" thickBot="1">
      <c r="A119" s="1328"/>
      <c r="B119" s="416"/>
      <c r="C119" s="797" t="s">
        <v>1323</v>
      </c>
      <c r="D119" s="960" t="s">
        <v>1324</v>
      </c>
      <c r="E119" s="172">
        <v>647.45000000000005</v>
      </c>
      <c r="F119" s="8">
        <f t="shared" si="24"/>
        <v>356.09750000000008</v>
      </c>
      <c r="G119" s="10">
        <f t="shared" si="25"/>
        <v>0</v>
      </c>
      <c r="H119" s="11">
        <f t="shared" si="26"/>
        <v>11.170778575000003</v>
      </c>
      <c r="I119" s="11">
        <f t="shared" si="27"/>
        <v>0</v>
      </c>
      <c r="J119" s="11">
        <f t="shared" si="28"/>
        <v>9.7570715000000021</v>
      </c>
      <c r="K119" s="11">
        <f t="shared" si="29"/>
        <v>0</v>
      </c>
      <c r="L119" s="11">
        <f t="shared" si="30"/>
        <v>8.1190230000000021</v>
      </c>
      <c r="M119" s="11">
        <f t="shared" si="31"/>
        <v>0</v>
      </c>
      <c r="N119" s="11">
        <f t="shared" si="32"/>
        <v>7.2643890000000022</v>
      </c>
      <c r="O119" s="11">
        <f t="shared" si="33"/>
        <v>0</v>
      </c>
      <c r="P119" s="11">
        <f t="shared" si="34"/>
        <v>0.20665940363750004</v>
      </c>
      <c r="Q119" s="11">
        <f t="shared" si="35"/>
        <v>0</v>
      </c>
      <c r="R119" s="415"/>
      <c r="S119" s="415"/>
    </row>
    <row r="120" spans="1:19" s="180" customFormat="1" ht="13.5" thickBot="1">
      <c r="A120" s="1328"/>
      <c r="B120" s="416"/>
      <c r="C120" s="797" t="s">
        <v>1325</v>
      </c>
      <c r="D120" s="960" t="s">
        <v>1326</v>
      </c>
      <c r="E120" s="172">
        <v>1017.42</v>
      </c>
      <c r="F120" s="8">
        <f t="shared" si="24"/>
        <v>559.58100000000002</v>
      </c>
      <c r="G120" s="10">
        <f t="shared" si="25"/>
        <v>0</v>
      </c>
      <c r="H120" s="11">
        <f t="shared" si="26"/>
        <v>17.55405597</v>
      </c>
      <c r="I120" s="11">
        <f t="shared" si="27"/>
        <v>0</v>
      </c>
      <c r="J120" s="11">
        <f t="shared" si="28"/>
        <v>15.332519400000001</v>
      </c>
      <c r="K120" s="11">
        <f t="shared" si="29"/>
        <v>0</v>
      </c>
      <c r="L120" s="11">
        <f t="shared" si="30"/>
        <v>12.758446800000002</v>
      </c>
      <c r="M120" s="11">
        <f t="shared" si="31"/>
        <v>0</v>
      </c>
      <c r="N120" s="11">
        <f t="shared" si="32"/>
        <v>11.415452400000001</v>
      </c>
      <c r="O120" s="11">
        <f t="shared" si="33"/>
        <v>0</v>
      </c>
      <c r="P120" s="11">
        <f t="shared" si="34"/>
        <v>0.32475003544499997</v>
      </c>
      <c r="Q120" s="11">
        <f t="shared" si="35"/>
        <v>0</v>
      </c>
      <c r="R120" s="415"/>
      <c r="S120" s="415"/>
    </row>
    <row r="121" spans="1:19" s="180" customFormat="1" ht="13.5" thickBot="1">
      <c r="A121" s="1328"/>
      <c r="B121" s="416"/>
      <c r="C121" s="173" t="s">
        <v>1347</v>
      </c>
      <c r="D121" s="960" t="s">
        <v>1348</v>
      </c>
      <c r="E121" s="172">
        <v>5541.13</v>
      </c>
      <c r="F121" s="8">
        <f t="shared" si="24"/>
        <v>3047.6215000000002</v>
      </c>
      <c r="G121" s="10">
        <f t="shared" si="25"/>
        <v>0</v>
      </c>
      <c r="H121" s="11">
        <f t="shared" si="26"/>
        <v>95.603886455000008</v>
      </c>
      <c r="I121" s="11">
        <f t="shared" si="27"/>
        <v>0</v>
      </c>
      <c r="J121" s="11">
        <f t="shared" si="28"/>
        <v>83.504829100000009</v>
      </c>
      <c r="K121" s="11">
        <f t="shared" si="29"/>
        <v>0</v>
      </c>
      <c r="L121" s="11">
        <f t="shared" si="30"/>
        <v>69.485770200000005</v>
      </c>
      <c r="M121" s="11">
        <f t="shared" si="31"/>
        <v>0</v>
      </c>
      <c r="N121" s="11">
        <f t="shared" si="32"/>
        <v>62.171478600000007</v>
      </c>
      <c r="O121" s="11">
        <f t="shared" si="33"/>
        <v>0</v>
      </c>
      <c r="P121" s="11">
        <f t="shared" si="34"/>
        <v>1.7686718994175001</v>
      </c>
      <c r="Q121" s="11">
        <f t="shared" si="35"/>
        <v>0</v>
      </c>
      <c r="R121" s="415"/>
      <c r="S121" s="415"/>
    </row>
    <row r="122" spans="1:19" s="180" customFormat="1" ht="13.5" thickBot="1">
      <c r="A122" s="1328"/>
      <c r="B122" s="416"/>
      <c r="C122" s="173" t="s">
        <v>1229</v>
      </c>
      <c r="D122" s="960" t="s">
        <v>1230</v>
      </c>
      <c r="E122" s="172">
        <v>4436.03</v>
      </c>
      <c r="F122" s="8">
        <f t="shared" si="24"/>
        <v>2439.8164999999999</v>
      </c>
      <c r="G122" s="9">
        <f t="shared" si="25"/>
        <v>0</v>
      </c>
      <c r="H122" s="52">
        <f t="shared" si="26"/>
        <v>76.537043605000008</v>
      </c>
      <c r="I122" s="11">
        <f t="shared" si="27"/>
        <v>0</v>
      </c>
      <c r="J122" s="11">
        <f t="shared" si="28"/>
        <v>66.850972099999993</v>
      </c>
      <c r="K122" s="11">
        <f t="shared" si="29"/>
        <v>0</v>
      </c>
      <c r="L122" s="11">
        <f t="shared" si="30"/>
        <v>55.627816199999998</v>
      </c>
      <c r="M122" s="11">
        <f t="shared" si="31"/>
        <v>0</v>
      </c>
      <c r="N122" s="11">
        <f t="shared" si="32"/>
        <v>49.772256599999999</v>
      </c>
      <c r="O122" s="11">
        <f t="shared" si="33"/>
        <v>0</v>
      </c>
      <c r="P122" s="11">
        <f>F122*0.0185</f>
        <v>45.136605249999995</v>
      </c>
      <c r="Q122" s="11">
        <f t="shared" si="35"/>
        <v>0</v>
      </c>
      <c r="R122" s="415"/>
      <c r="S122" s="415"/>
    </row>
    <row r="123" spans="1:19" s="180" customFormat="1" ht="13.5" thickBot="1">
      <c r="A123" s="1328"/>
      <c r="B123" s="416"/>
      <c r="C123" s="797" t="s">
        <v>1406</v>
      </c>
      <c r="D123" s="960" t="s">
        <v>4034</v>
      </c>
      <c r="E123" s="172">
        <v>5586</v>
      </c>
      <c r="F123" s="8">
        <f t="shared" si="24"/>
        <v>3072.3</v>
      </c>
      <c r="G123" s="9">
        <f t="shared" si="25"/>
        <v>0</v>
      </c>
      <c r="H123" s="52">
        <f t="shared" si="26"/>
        <v>96.378051000000013</v>
      </c>
      <c r="I123" s="11">
        <f t="shared" si="27"/>
        <v>0</v>
      </c>
      <c r="J123" s="11">
        <f t="shared" si="28"/>
        <v>84.181020000000004</v>
      </c>
      <c r="K123" s="11">
        <f t="shared" si="29"/>
        <v>0</v>
      </c>
      <c r="L123" s="11">
        <f t="shared" si="30"/>
        <v>70.048440000000014</v>
      </c>
      <c r="M123" s="11">
        <f t="shared" si="31"/>
        <v>0</v>
      </c>
      <c r="N123" s="11">
        <f t="shared" si="32"/>
        <v>62.674920000000007</v>
      </c>
      <c r="O123" s="11">
        <f t="shared" si="33"/>
        <v>0</v>
      </c>
      <c r="P123" s="11">
        <f t="shared" ref="P123:P159" si="47">H123*0.0185</f>
        <v>1.7829939435000002</v>
      </c>
      <c r="Q123" s="11">
        <f t="shared" si="35"/>
        <v>0</v>
      </c>
      <c r="R123" s="415"/>
      <c r="S123" s="415"/>
    </row>
    <row r="124" spans="1:19" s="180" customFormat="1" ht="13.5" thickBot="1">
      <c r="A124" s="1328"/>
      <c r="B124" s="416"/>
      <c r="C124" s="797" t="s">
        <v>4033</v>
      </c>
      <c r="D124" s="960" t="s">
        <v>4034</v>
      </c>
      <c r="E124" s="172">
        <v>6344.79</v>
      </c>
      <c r="F124" s="8">
        <f t="shared" si="24"/>
        <v>3489.6345000000001</v>
      </c>
      <c r="G124" s="9">
        <f t="shared" si="25"/>
        <v>0</v>
      </c>
      <c r="H124" s="52">
        <f t="shared" si="26"/>
        <v>109.46983426500002</v>
      </c>
      <c r="I124" s="11">
        <f t="shared" si="27"/>
        <v>0</v>
      </c>
      <c r="J124" s="11">
        <f t="shared" si="28"/>
        <v>95.615985300000006</v>
      </c>
      <c r="K124" s="11">
        <f t="shared" si="29"/>
        <v>0</v>
      </c>
      <c r="L124" s="11">
        <f t="shared" si="30"/>
        <v>79.563666600000005</v>
      </c>
      <c r="M124" s="11">
        <f t="shared" si="31"/>
        <v>0</v>
      </c>
      <c r="N124" s="11">
        <f t="shared" si="32"/>
        <v>71.188543800000005</v>
      </c>
      <c r="O124" s="11">
        <f t="shared" si="33"/>
        <v>0</v>
      </c>
      <c r="P124" s="11">
        <f t="shared" si="47"/>
        <v>2.0251919339025002</v>
      </c>
      <c r="Q124" s="11">
        <f t="shared" si="35"/>
        <v>0</v>
      </c>
      <c r="R124" s="415"/>
      <c r="S124" s="415"/>
    </row>
    <row r="125" spans="1:19" s="180" customFormat="1" ht="13.5" thickBot="1">
      <c r="A125" s="1328"/>
      <c r="B125" s="416"/>
      <c r="C125" s="297" t="s">
        <v>1152</v>
      </c>
      <c r="D125" s="575" t="s">
        <v>1231</v>
      </c>
      <c r="E125" s="177">
        <v>5018.6099999999997</v>
      </c>
      <c r="F125" s="8">
        <f t="shared" si="24"/>
        <v>2760.2355000000002</v>
      </c>
      <c r="G125" s="9">
        <f t="shared" si="25"/>
        <v>0</v>
      </c>
      <c r="H125" s="52">
        <f t="shared" si="26"/>
        <v>86.58858763500001</v>
      </c>
      <c r="I125" s="11">
        <f t="shared" si="27"/>
        <v>0</v>
      </c>
      <c r="J125" s="11">
        <f t="shared" si="28"/>
        <v>75.630452700000006</v>
      </c>
      <c r="K125" s="11">
        <f t="shared" si="29"/>
        <v>0</v>
      </c>
      <c r="L125" s="11">
        <f t="shared" si="30"/>
        <v>62.933369400000011</v>
      </c>
      <c r="M125" s="11">
        <f t="shared" si="31"/>
        <v>0</v>
      </c>
      <c r="N125" s="11">
        <f t="shared" si="32"/>
        <v>56.308804200000012</v>
      </c>
      <c r="O125" s="11">
        <f t="shared" si="33"/>
        <v>0</v>
      </c>
      <c r="P125" s="11">
        <f t="shared" si="47"/>
        <v>1.6018888712475001</v>
      </c>
      <c r="Q125" s="11">
        <f t="shared" si="35"/>
        <v>0</v>
      </c>
      <c r="R125" s="415"/>
      <c r="S125" s="415"/>
    </row>
    <row r="126" spans="1:19" s="180" customFormat="1" ht="13.5" thickBot="1">
      <c r="A126" s="1328"/>
      <c r="B126" s="416"/>
      <c r="C126" s="297" t="s">
        <v>3961</v>
      </c>
      <c r="D126" s="575" t="s">
        <v>1234</v>
      </c>
      <c r="E126" s="177">
        <v>7399.39</v>
      </c>
      <c r="F126" s="8">
        <f t="shared" si="24"/>
        <v>4069.6645000000003</v>
      </c>
      <c r="G126" s="9">
        <f t="shared" si="25"/>
        <v>0</v>
      </c>
      <c r="H126" s="52">
        <f t="shared" si="26"/>
        <v>127.66537536500002</v>
      </c>
      <c r="I126" s="11">
        <f t="shared" si="27"/>
        <v>0</v>
      </c>
      <c r="J126" s="11">
        <f t="shared" si="28"/>
        <v>111.50880730000002</v>
      </c>
      <c r="K126" s="11">
        <f t="shared" si="29"/>
        <v>0</v>
      </c>
      <c r="L126" s="11">
        <f t="shared" si="30"/>
        <v>92.788350600000015</v>
      </c>
      <c r="M126" s="11">
        <f t="shared" si="31"/>
        <v>0</v>
      </c>
      <c r="N126" s="11">
        <f t="shared" si="32"/>
        <v>83.021155800000017</v>
      </c>
      <c r="O126" s="11">
        <f t="shared" si="33"/>
        <v>0</v>
      </c>
      <c r="P126" s="11">
        <f t="shared" si="47"/>
        <v>2.3618094442525002</v>
      </c>
      <c r="Q126" s="11">
        <f t="shared" si="35"/>
        <v>0</v>
      </c>
      <c r="R126" s="415"/>
      <c r="S126" s="415"/>
    </row>
    <row r="127" spans="1:19" s="180" customFormat="1" ht="13.5" thickBot="1">
      <c r="A127" s="1328"/>
      <c r="B127" s="416"/>
      <c r="C127" s="297" t="s">
        <v>1235</v>
      </c>
      <c r="D127" s="575" t="s">
        <v>1381</v>
      </c>
      <c r="E127" s="177">
        <v>5179.58</v>
      </c>
      <c r="F127" s="8">
        <f t="shared" si="24"/>
        <v>2848.7690000000002</v>
      </c>
      <c r="G127" s="9">
        <f t="shared" si="25"/>
        <v>0</v>
      </c>
      <c r="H127" s="52">
        <f t="shared" si="26"/>
        <v>89.365883530000019</v>
      </c>
      <c r="I127" s="11">
        <f t="shared" si="27"/>
        <v>0</v>
      </c>
      <c r="J127" s="11">
        <f t="shared" si="28"/>
        <v>78.056270600000005</v>
      </c>
      <c r="K127" s="11">
        <f t="shared" si="29"/>
        <v>0</v>
      </c>
      <c r="L127" s="11">
        <f t="shared" si="30"/>
        <v>64.951933200000013</v>
      </c>
      <c r="M127" s="11">
        <f t="shared" si="31"/>
        <v>0</v>
      </c>
      <c r="N127" s="11">
        <f t="shared" si="32"/>
        <v>58.11488760000001</v>
      </c>
      <c r="O127" s="11">
        <f t="shared" si="33"/>
        <v>0</v>
      </c>
      <c r="P127" s="11">
        <f t="shared" si="47"/>
        <v>1.6532688453050002</v>
      </c>
      <c r="Q127" s="11">
        <f t="shared" si="35"/>
        <v>0</v>
      </c>
      <c r="R127" s="415"/>
      <c r="S127" s="415"/>
    </row>
    <row r="128" spans="1:19" s="180" customFormat="1" ht="13.5" thickBot="1">
      <c r="A128" s="1328"/>
      <c r="B128" s="416"/>
      <c r="C128" s="297" t="s">
        <v>4138</v>
      </c>
      <c r="D128" s="575" t="s">
        <v>1407</v>
      </c>
      <c r="E128" s="177">
        <v>15347.73</v>
      </c>
      <c r="F128" s="8">
        <f t="shared" si="24"/>
        <v>8441.2515000000003</v>
      </c>
      <c r="G128" s="9">
        <f t="shared" si="25"/>
        <v>0</v>
      </c>
      <c r="H128" s="52">
        <f t="shared" si="26"/>
        <v>264.80205955500003</v>
      </c>
      <c r="I128" s="11">
        <f t="shared" si="27"/>
        <v>0</v>
      </c>
      <c r="J128" s="11">
        <f t="shared" si="28"/>
        <v>231.29029110000002</v>
      </c>
      <c r="K128" s="11">
        <f t="shared" si="29"/>
        <v>0</v>
      </c>
      <c r="L128" s="11">
        <f t="shared" si="30"/>
        <v>192.46053420000001</v>
      </c>
      <c r="M128" s="11">
        <f t="shared" si="31"/>
        <v>0</v>
      </c>
      <c r="N128" s="11">
        <f t="shared" si="32"/>
        <v>172.20153060000001</v>
      </c>
      <c r="O128" s="11">
        <f t="shared" si="33"/>
        <v>0</v>
      </c>
      <c r="P128" s="11">
        <f t="shared" si="47"/>
        <v>4.8988381017675007</v>
      </c>
      <c r="Q128" s="11">
        <f t="shared" si="35"/>
        <v>0</v>
      </c>
      <c r="R128" s="415"/>
      <c r="S128" s="415"/>
    </row>
    <row r="129" spans="1:19" s="180" customFormat="1" ht="13.5" thickBot="1">
      <c r="A129" s="1328"/>
      <c r="B129" s="416"/>
      <c r="C129" s="797" t="s">
        <v>4139</v>
      </c>
      <c r="D129" s="960" t="s">
        <v>1408</v>
      </c>
      <c r="E129" s="172">
        <v>27694.86</v>
      </c>
      <c r="F129" s="8">
        <f t="shared" si="24"/>
        <v>15232.173000000001</v>
      </c>
      <c r="G129" s="9">
        <f t="shared" si="25"/>
        <v>0</v>
      </c>
      <c r="H129" s="52">
        <f t="shared" si="26"/>
        <v>477.83326701000004</v>
      </c>
      <c r="I129" s="11">
        <f t="shared" si="27"/>
        <v>0</v>
      </c>
      <c r="J129" s="11">
        <f t="shared" si="28"/>
        <v>417.36154020000004</v>
      </c>
      <c r="K129" s="11">
        <f t="shared" si="29"/>
        <v>0</v>
      </c>
      <c r="L129" s="11">
        <f t="shared" si="30"/>
        <v>347.29354440000003</v>
      </c>
      <c r="M129" s="11">
        <f t="shared" si="31"/>
        <v>0</v>
      </c>
      <c r="N129" s="11">
        <f t="shared" si="32"/>
        <v>310.73632920000006</v>
      </c>
      <c r="O129" s="11">
        <f t="shared" si="33"/>
        <v>0</v>
      </c>
      <c r="P129" s="11">
        <f t="shared" si="47"/>
        <v>8.8399154396850008</v>
      </c>
      <c r="Q129" s="11">
        <f t="shared" si="35"/>
        <v>0</v>
      </c>
      <c r="R129" s="415"/>
      <c r="S129" s="415"/>
    </row>
    <row r="130" spans="1:19" s="180" customFormat="1" ht="13.5" thickBot="1">
      <c r="A130" s="1328"/>
      <c r="B130" s="416"/>
      <c r="C130" s="797" t="s">
        <v>4140</v>
      </c>
      <c r="D130" s="960" t="s">
        <v>1385</v>
      </c>
      <c r="E130" s="172">
        <v>27853.42</v>
      </c>
      <c r="F130" s="8">
        <f t="shared" si="24"/>
        <v>15319.380999999999</v>
      </c>
      <c r="G130" s="9">
        <f t="shared" si="25"/>
        <v>0</v>
      </c>
      <c r="H130" s="52">
        <f t="shared" si="26"/>
        <v>480.56898197000004</v>
      </c>
      <c r="I130" s="11">
        <f t="shared" si="27"/>
        <v>0</v>
      </c>
      <c r="J130" s="11">
        <f t="shared" si="28"/>
        <v>419.75103939999997</v>
      </c>
      <c r="K130" s="11">
        <f t="shared" si="29"/>
        <v>0</v>
      </c>
      <c r="L130" s="11">
        <f t="shared" si="30"/>
        <v>349.2818868</v>
      </c>
      <c r="M130" s="11">
        <f t="shared" si="31"/>
        <v>0</v>
      </c>
      <c r="N130" s="11">
        <f t="shared" si="32"/>
        <v>312.51537239999999</v>
      </c>
      <c r="O130" s="11">
        <f t="shared" si="33"/>
        <v>0</v>
      </c>
      <c r="P130" s="11">
        <f t="shared" si="47"/>
        <v>8.8905261664449995</v>
      </c>
      <c r="Q130" s="11">
        <f t="shared" si="35"/>
        <v>0</v>
      </c>
      <c r="R130" s="415"/>
      <c r="S130" s="415"/>
    </row>
    <row r="131" spans="1:19" s="180" customFormat="1" ht="13.5" thickBot="1">
      <c r="A131" s="1328"/>
      <c r="B131" s="416"/>
      <c r="C131" s="797" t="s">
        <v>1132</v>
      </c>
      <c r="D131" s="960" t="s">
        <v>1133</v>
      </c>
      <c r="E131" s="172">
        <v>1471.47</v>
      </c>
      <c r="F131" s="8">
        <f t="shared" si="24"/>
        <v>809.30850000000009</v>
      </c>
      <c r="G131" s="10">
        <f t="shared" si="25"/>
        <v>0</v>
      </c>
      <c r="H131" s="11">
        <f t="shared" si="26"/>
        <v>25.388007645000005</v>
      </c>
      <c r="I131" s="11">
        <f t="shared" si="27"/>
        <v>0</v>
      </c>
      <c r="J131" s="11">
        <f t="shared" si="28"/>
        <v>22.175052900000004</v>
      </c>
      <c r="K131" s="11">
        <f t="shared" si="29"/>
        <v>0</v>
      </c>
      <c r="L131" s="11">
        <f t="shared" si="30"/>
        <v>18.452233800000002</v>
      </c>
      <c r="M131" s="11">
        <f t="shared" si="31"/>
        <v>0</v>
      </c>
      <c r="N131" s="11">
        <f t="shared" si="32"/>
        <v>16.509893400000003</v>
      </c>
      <c r="O131" s="11">
        <f t="shared" si="33"/>
        <v>0</v>
      </c>
      <c r="P131" s="11">
        <f t="shared" si="47"/>
        <v>0.46967814143250008</v>
      </c>
      <c r="Q131" s="11">
        <f t="shared" si="35"/>
        <v>0</v>
      </c>
      <c r="R131" s="415"/>
      <c r="S131" s="415"/>
    </row>
    <row r="132" spans="1:19" s="180" customFormat="1" ht="13.5" thickBot="1">
      <c r="A132" s="1328"/>
      <c r="B132" s="416"/>
      <c r="C132" s="797" t="s">
        <v>1150</v>
      </c>
      <c r="D132" s="960" t="s">
        <v>1151</v>
      </c>
      <c r="E132" s="172">
        <v>1103.9100000000001</v>
      </c>
      <c r="F132" s="8">
        <f t="shared" si="24"/>
        <v>607.15050000000008</v>
      </c>
      <c r="G132" s="10">
        <f t="shared" si="25"/>
        <v>0</v>
      </c>
      <c r="H132" s="11">
        <f t="shared" si="26"/>
        <v>19.046311185000004</v>
      </c>
      <c r="I132" s="11">
        <f t="shared" si="27"/>
        <v>0</v>
      </c>
      <c r="J132" s="11">
        <f t="shared" si="28"/>
        <v>16.635923700000003</v>
      </c>
      <c r="K132" s="11">
        <f t="shared" si="29"/>
        <v>0</v>
      </c>
      <c r="L132" s="11">
        <f t="shared" si="30"/>
        <v>13.843031400000003</v>
      </c>
      <c r="M132" s="11">
        <f t="shared" si="31"/>
        <v>0</v>
      </c>
      <c r="N132" s="11">
        <f t="shared" si="32"/>
        <v>12.385870200000003</v>
      </c>
      <c r="O132" s="11">
        <f t="shared" si="33"/>
        <v>0</v>
      </c>
      <c r="P132" s="11">
        <f t="shared" si="47"/>
        <v>0.35235675692250007</v>
      </c>
      <c r="Q132" s="11">
        <f t="shared" si="35"/>
        <v>0</v>
      </c>
      <c r="R132" s="415"/>
      <c r="S132" s="415"/>
    </row>
    <row r="133" spans="1:19" s="180" customFormat="1" ht="13.5" thickBot="1">
      <c r="A133" s="1328"/>
      <c r="B133" s="416"/>
      <c r="C133" s="297" t="s">
        <v>3962</v>
      </c>
      <c r="D133" s="575" t="s">
        <v>3963</v>
      </c>
      <c r="E133" s="177">
        <v>1610.28</v>
      </c>
      <c r="F133" s="8">
        <f t="shared" si="24"/>
        <v>885.65400000000011</v>
      </c>
      <c r="G133" s="10">
        <f t="shared" si="25"/>
        <v>0</v>
      </c>
      <c r="H133" s="11">
        <f t="shared" si="26"/>
        <v>27.782965980000004</v>
      </c>
      <c r="I133" s="11">
        <f t="shared" si="27"/>
        <v>0</v>
      </c>
      <c r="J133" s="11">
        <f t="shared" si="28"/>
        <v>24.266919600000005</v>
      </c>
      <c r="K133" s="11">
        <f t="shared" si="29"/>
        <v>0</v>
      </c>
      <c r="L133" s="11">
        <f t="shared" si="30"/>
        <v>20.192911200000005</v>
      </c>
      <c r="M133" s="11">
        <f t="shared" si="31"/>
        <v>0</v>
      </c>
      <c r="N133" s="11">
        <f t="shared" si="32"/>
        <v>18.067341600000002</v>
      </c>
      <c r="O133" s="11">
        <f t="shared" si="33"/>
        <v>0</v>
      </c>
      <c r="P133" s="11">
        <f t="shared" si="47"/>
        <v>0.51398487063000009</v>
      </c>
      <c r="Q133" s="11">
        <f t="shared" si="35"/>
        <v>0</v>
      </c>
      <c r="R133" s="415"/>
      <c r="S133" s="415"/>
    </row>
    <row r="134" spans="1:19" s="180" customFormat="1" ht="13.5" thickBot="1">
      <c r="A134" s="1328"/>
      <c r="B134" s="416"/>
      <c r="C134" s="173" t="s">
        <v>3964</v>
      </c>
      <c r="D134" s="960" t="s">
        <v>3965</v>
      </c>
      <c r="E134" s="172">
        <v>2514.2399999999998</v>
      </c>
      <c r="F134" s="8">
        <f t="shared" si="24"/>
        <v>1382.8319999999999</v>
      </c>
      <c r="G134" s="10">
        <f t="shared" si="25"/>
        <v>0</v>
      </c>
      <c r="H134" s="11">
        <f t="shared" si="26"/>
        <v>43.379439839999996</v>
      </c>
      <c r="I134" s="11">
        <f t="shared" si="27"/>
        <v>0</v>
      </c>
      <c r="J134" s="11">
        <f t="shared" si="28"/>
        <v>37.8895968</v>
      </c>
      <c r="K134" s="11">
        <f t="shared" si="29"/>
        <v>0</v>
      </c>
      <c r="L134" s="11">
        <f t="shared" si="30"/>
        <v>31.528569599999997</v>
      </c>
      <c r="M134" s="11">
        <f t="shared" si="31"/>
        <v>0</v>
      </c>
      <c r="N134" s="11">
        <f t="shared" si="32"/>
        <v>28.2097728</v>
      </c>
      <c r="O134" s="11">
        <f t="shared" si="33"/>
        <v>0</v>
      </c>
      <c r="P134" s="11">
        <f t="shared" si="47"/>
        <v>0.80251963703999984</v>
      </c>
      <c r="Q134" s="11">
        <f t="shared" si="35"/>
        <v>0</v>
      </c>
      <c r="R134" s="415"/>
      <c r="S134" s="415"/>
    </row>
    <row r="135" spans="1:19" s="180" customFormat="1" ht="13.5" thickBot="1">
      <c r="A135" s="1328"/>
      <c r="B135" s="873"/>
      <c r="C135" s="173" t="s">
        <v>3966</v>
      </c>
      <c r="D135" s="960" t="s">
        <v>3967</v>
      </c>
      <c r="E135" s="174">
        <v>31146.560000000001</v>
      </c>
      <c r="F135" s="52">
        <f t="shared" si="24"/>
        <v>17130.608000000004</v>
      </c>
      <c r="G135" s="54">
        <f t="shared" si="25"/>
        <v>0</v>
      </c>
      <c r="H135" s="11">
        <f t="shared" si="26"/>
        <v>537.38717296000016</v>
      </c>
      <c r="I135" s="11">
        <f t="shared" si="27"/>
        <v>0</v>
      </c>
      <c r="J135" s="11">
        <f>F135*0.02564</f>
        <v>439.2287891200001</v>
      </c>
      <c r="K135" s="11">
        <f t="shared" si="29"/>
        <v>0</v>
      </c>
      <c r="L135" s="11">
        <f>F135*0.0256</f>
        <v>438.54356480000013</v>
      </c>
      <c r="M135" s="11">
        <f t="shared" si="31"/>
        <v>0</v>
      </c>
      <c r="N135" s="11">
        <f t="shared" si="32"/>
        <v>349.46440320000011</v>
      </c>
      <c r="O135" s="11">
        <f t="shared" si="33"/>
        <v>0</v>
      </c>
      <c r="P135" s="11">
        <f t="shared" si="47"/>
        <v>9.9416626997600019</v>
      </c>
      <c r="Q135" s="11">
        <f t="shared" si="35"/>
        <v>0</v>
      </c>
      <c r="R135" s="415"/>
      <c r="S135" s="415"/>
    </row>
    <row r="136" spans="1:19" s="180" customFormat="1" ht="13.5" thickBot="1">
      <c r="A136" s="1328"/>
      <c r="B136" s="416"/>
      <c r="C136" s="173">
        <v>13200002</v>
      </c>
      <c r="D136" s="960" t="s">
        <v>1240</v>
      </c>
      <c r="E136" s="172">
        <v>663.05</v>
      </c>
      <c r="F136" s="8">
        <f t="shared" si="24"/>
        <v>364.67750000000001</v>
      </c>
      <c r="G136" s="10">
        <f t="shared" si="25"/>
        <v>0</v>
      </c>
      <c r="H136" s="11">
        <f t="shared" si="26"/>
        <v>11.439933175</v>
      </c>
      <c r="I136" s="11">
        <f t="shared" si="27"/>
        <v>0</v>
      </c>
      <c r="J136" s="11">
        <f>F136*0.0274</f>
        <v>9.9921635000000002</v>
      </c>
      <c r="K136" s="11">
        <f t="shared" si="29"/>
        <v>0</v>
      </c>
      <c r="L136" s="11">
        <f t="shared" ref="L136:L159" si="48">F136*0.0228</f>
        <v>8.3146470000000008</v>
      </c>
      <c r="M136" s="11">
        <f t="shared" si="31"/>
        <v>0</v>
      </c>
      <c r="N136" s="11">
        <f t="shared" si="32"/>
        <v>7.4394210000000003</v>
      </c>
      <c r="O136" s="11">
        <f t="shared" si="33"/>
        <v>0</v>
      </c>
      <c r="P136" s="11">
        <f t="shared" si="47"/>
        <v>0.21163876373749999</v>
      </c>
      <c r="Q136" s="11">
        <f t="shared" si="35"/>
        <v>0</v>
      </c>
      <c r="R136" s="415"/>
      <c r="S136" s="415"/>
    </row>
    <row r="137" spans="1:19" s="180" customFormat="1" ht="13.5" thickBot="1">
      <c r="A137" s="1328"/>
      <c r="B137" s="416"/>
      <c r="C137" s="798" t="s">
        <v>1241</v>
      </c>
      <c r="D137" s="961" t="s">
        <v>1242</v>
      </c>
      <c r="E137" s="177">
        <v>7546.63</v>
      </c>
      <c r="F137" s="8">
        <f t="shared" si="24"/>
        <v>4150.6465000000007</v>
      </c>
      <c r="G137" s="10">
        <f t="shared" si="25"/>
        <v>0</v>
      </c>
      <c r="H137" s="11">
        <f t="shared" si="26"/>
        <v>130.20578070500002</v>
      </c>
      <c r="I137" s="11">
        <f t="shared" si="27"/>
        <v>0</v>
      </c>
      <c r="J137" s="11">
        <f>F137*0.0274</f>
        <v>113.72771410000003</v>
      </c>
      <c r="K137" s="11">
        <f t="shared" si="29"/>
        <v>0</v>
      </c>
      <c r="L137" s="11">
        <f t="shared" si="48"/>
        <v>94.634740200000024</v>
      </c>
      <c r="M137" s="11">
        <f t="shared" si="31"/>
        <v>0</v>
      </c>
      <c r="N137" s="11">
        <f t="shared" si="32"/>
        <v>84.673188600000017</v>
      </c>
      <c r="O137" s="11">
        <f t="shared" si="33"/>
        <v>0</v>
      </c>
      <c r="P137" s="11">
        <f t="shared" si="47"/>
        <v>2.4088069430425003</v>
      </c>
      <c r="Q137" s="11">
        <f t="shared" si="35"/>
        <v>0</v>
      </c>
      <c r="R137" s="415"/>
      <c r="S137" s="415"/>
    </row>
    <row r="138" spans="1:19" s="180" customFormat="1" ht="13.5" thickBot="1">
      <c r="A138" s="1328"/>
      <c r="B138" s="416"/>
      <c r="C138" s="797" t="s">
        <v>4016</v>
      </c>
      <c r="D138" s="960" t="s">
        <v>4017</v>
      </c>
      <c r="E138" s="172">
        <v>725.2</v>
      </c>
      <c r="F138" s="8">
        <f t="shared" si="24"/>
        <v>398.86000000000007</v>
      </c>
      <c r="G138" s="10">
        <f t="shared" si="25"/>
        <v>0</v>
      </c>
      <c r="H138" s="11">
        <f t="shared" si="26"/>
        <v>12.512238200000002</v>
      </c>
      <c r="I138" s="11">
        <f t="shared" si="27"/>
        <v>0</v>
      </c>
      <c r="J138" s="11">
        <f>F138*0.0274</f>
        <v>10.928764000000003</v>
      </c>
      <c r="K138" s="11">
        <f t="shared" si="29"/>
        <v>0</v>
      </c>
      <c r="L138" s="11">
        <f t="shared" si="48"/>
        <v>9.0940080000000023</v>
      </c>
      <c r="M138" s="11">
        <f t="shared" si="31"/>
        <v>0</v>
      </c>
      <c r="N138" s="11">
        <f t="shared" si="32"/>
        <v>8.136744000000002</v>
      </c>
      <c r="O138" s="11">
        <f t="shared" si="33"/>
        <v>0</v>
      </c>
      <c r="P138" s="11">
        <f t="shared" si="47"/>
        <v>0.23147640670000003</v>
      </c>
      <c r="Q138" s="11">
        <f t="shared" si="35"/>
        <v>0</v>
      </c>
      <c r="R138" s="415"/>
      <c r="S138" s="415"/>
    </row>
    <row r="139" spans="1:19" s="180" customFormat="1" ht="13.5" thickBot="1">
      <c r="A139" s="1328"/>
      <c r="B139" s="873"/>
      <c r="C139" s="173" t="s">
        <v>4018</v>
      </c>
      <c r="D139" s="960" t="s">
        <v>4019</v>
      </c>
      <c r="E139" s="174">
        <v>17592.400000000001</v>
      </c>
      <c r="F139" s="52">
        <f t="shared" si="24"/>
        <v>9675.8200000000015</v>
      </c>
      <c r="G139" s="54">
        <f t="shared" si="25"/>
        <v>0</v>
      </c>
      <c r="H139" s="11">
        <f t="shared" si="26"/>
        <v>303.53047340000006</v>
      </c>
      <c r="I139" s="11">
        <f t="shared" si="27"/>
        <v>0</v>
      </c>
      <c r="J139" s="11">
        <f>F139*0.0274</f>
        <v>265.11746800000003</v>
      </c>
      <c r="K139" s="11">
        <f t="shared" si="29"/>
        <v>0</v>
      </c>
      <c r="L139" s="11">
        <f t="shared" si="48"/>
        <v>220.60869600000004</v>
      </c>
      <c r="M139" s="11">
        <f t="shared" si="31"/>
        <v>0</v>
      </c>
      <c r="N139" s="11">
        <f t="shared" si="32"/>
        <v>197.38672800000003</v>
      </c>
      <c r="O139" s="11">
        <f t="shared" si="33"/>
        <v>0</v>
      </c>
      <c r="P139" s="11">
        <f t="shared" si="47"/>
        <v>5.615313757900001</v>
      </c>
      <c r="Q139" s="11">
        <f t="shared" si="35"/>
        <v>0</v>
      </c>
      <c r="R139" s="415"/>
      <c r="S139" s="415"/>
    </row>
    <row r="140" spans="1:19" s="180" customFormat="1" ht="13.5" thickBot="1">
      <c r="A140" s="1328"/>
      <c r="B140" s="416"/>
      <c r="C140" s="173" t="s">
        <v>1243</v>
      </c>
      <c r="D140" s="960" t="s">
        <v>1244</v>
      </c>
      <c r="E140" s="172">
        <v>51145.96</v>
      </c>
      <c r="F140" s="8">
        <f t="shared" si="24"/>
        <v>28130.278000000002</v>
      </c>
      <c r="G140" s="10">
        <f t="shared" si="25"/>
        <v>0</v>
      </c>
      <c r="H140" s="11">
        <f t="shared" si="26"/>
        <v>882.44682086000012</v>
      </c>
      <c r="I140" s="11">
        <f t="shared" si="27"/>
        <v>0</v>
      </c>
      <c r="J140" s="11">
        <f>F140*0.0274</f>
        <v>770.76961720000008</v>
      </c>
      <c r="K140" s="11">
        <f t="shared" si="29"/>
        <v>0</v>
      </c>
      <c r="L140" s="11">
        <f t="shared" si="48"/>
        <v>641.37033840000004</v>
      </c>
      <c r="M140" s="11">
        <f t="shared" si="31"/>
        <v>0</v>
      </c>
      <c r="N140" s="11">
        <f t="shared" si="32"/>
        <v>573.85767120000003</v>
      </c>
      <c r="O140" s="11">
        <f t="shared" si="33"/>
        <v>0</v>
      </c>
      <c r="P140" s="11">
        <f t="shared" si="47"/>
        <v>16.325266185910003</v>
      </c>
      <c r="Q140" s="11">
        <f t="shared" si="35"/>
        <v>0</v>
      </c>
      <c r="R140" s="415"/>
      <c r="S140" s="415"/>
    </row>
    <row r="141" spans="1:19" s="180" customFormat="1" ht="13.5" thickBot="1">
      <c r="A141" s="1328"/>
      <c r="B141" s="873"/>
      <c r="C141" s="173" t="s">
        <v>3970</v>
      </c>
      <c r="D141" s="960" t="s">
        <v>3971</v>
      </c>
      <c r="E141" s="174">
        <v>26114.75</v>
      </c>
      <c r="F141" s="52">
        <f t="shared" si="24"/>
        <v>14363.112500000001</v>
      </c>
      <c r="G141" s="54">
        <f t="shared" si="25"/>
        <v>0</v>
      </c>
      <c r="H141" s="11">
        <f t="shared" si="26"/>
        <v>450.57083912500008</v>
      </c>
      <c r="I141" s="11">
        <f t="shared" si="27"/>
        <v>0</v>
      </c>
      <c r="J141" s="11">
        <f>F141*0.02564</f>
        <v>368.27020450000003</v>
      </c>
      <c r="K141" s="11">
        <f t="shared" si="29"/>
        <v>0</v>
      </c>
      <c r="L141" s="11">
        <f t="shared" si="48"/>
        <v>327.47896500000002</v>
      </c>
      <c r="M141" s="11">
        <f t="shared" si="31"/>
        <v>0</v>
      </c>
      <c r="N141" s="11">
        <f t="shared" si="32"/>
        <v>293.00749500000006</v>
      </c>
      <c r="O141" s="11">
        <f t="shared" si="33"/>
        <v>0</v>
      </c>
      <c r="P141" s="11">
        <f t="shared" si="47"/>
        <v>8.3355605238125019</v>
      </c>
      <c r="Q141" s="11">
        <f t="shared" si="35"/>
        <v>0</v>
      </c>
      <c r="R141" s="415"/>
      <c r="S141" s="415"/>
    </row>
    <row r="142" spans="1:19" s="180" customFormat="1" ht="13.5" thickBot="1">
      <c r="A142" s="1328"/>
      <c r="B142" s="416"/>
      <c r="C142" s="173">
        <v>13700022</v>
      </c>
      <c r="D142" s="960" t="s">
        <v>1245</v>
      </c>
      <c r="E142" s="172">
        <v>18623.990000000002</v>
      </c>
      <c r="F142" s="8">
        <f t="shared" si="24"/>
        <v>10243.194500000001</v>
      </c>
      <c r="G142" s="10">
        <f t="shared" si="25"/>
        <v>0</v>
      </c>
      <c r="H142" s="11">
        <f t="shared" si="26"/>
        <v>321.32901146500006</v>
      </c>
      <c r="I142" s="11">
        <f t="shared" si="27"/>
        <v>0</v>
      </c>
      <c r="J142" s="11">
        <f t="shared" ref="J142:J159" si="49">F142*0.0274</f>
        <v>280.66352930000005</v>
      </c>
      <c r="K142" s="11">
        <f t="shared" si="29"/>
        <v>0</v>
      </c>
      <c r="L142" s="11">
        <f t="shared" si="48"/>
        <v>233.54483460000003</v>
      </c>
      <c r="M142" s="11">
        <f t="shared" si="31"/>
        <v>0</v>
      </c>
      <c r="N142" s="11">
        <f t="shared" si="32"/>
        <v>208.96116780000006</v>
      </c>
      <c r="O142" s="11">
        <f t="shared" si="33"/>
        <v>0</v>
      </c>
      <c r="P142" s="11">
        <f t="shared" si="47"/>
        <v>5.9445867121025007</v>
      </c>
      <c r="Q142" s="11">
        <f t="shared" si="35"/>
        <v>0</v>
      </c>
      <c r="R142" s="415"/>
      <c r="S142" s="415"/>
    </row>
    <row r="143" spans="1:19" s="180" customFormat="1" ht="13.5" thickBot="1">
      <c r="A143" s="1328"/>
      <c r="B143" s="873"/>
      <c r="C143" s="173" t="s">
        <v>1249</v>
      </c>
      <c r="D143" s="960" t="s">
        <v>1250</v>
      </c>
      <c r="E143" s="174">
        <v>4733.1899999999996</v>
      </c>
      <c r="F143" s="52">
        <f t="shared" si="24"/>
        <v>2603.2545</v>
      </c>
      <c r="G143" s="54">
        <f t="shared" si="25"/>
        <v>0</v>
      </c>
      <c r="H143" s="11">
        <f t="shared" si="26"/>
        <v>81.66409366500001</v>
      </c>
      <c r="I143" s="11">
        <f t="shared" si="27"/>
        <v>0</v>
      </c>
      <c r="J143" s="11">
        <f t="shared" si="49"/>
        <v>71.329173300000008</v>
      </c>
      <c r="K143" s="11">
        <f t="shared" si="29"/>
        <v>0</v>
      </c>
      <c r="L143" s="11">
        <f t="shared" si="48"/>
        <v>59.354202600000001</v>
      </c>
      <c r="M143" s="11">
        <f t="shared" si="31"/>
        <v>0</v>
      </c>
      <c r="N143" s="11">
        <f t="shared" si="32"/>
        <v>53.106391800000004</v>
      </c>
      <c r="O143" s="11">
        <f t="shared" si="33"/>
        <v>0</v>
      </c>
      <c r="P143" s="11">
        <f t="shared" si="47"/>
        <v>1.5107857328025001</v>
      </c>
      <c r="Q143" s="11">
        <f t="shared" si="35"/>
        <v>0</v>
      </c>
      <c r="R143" s="415"/>
      <c r="S143" s="415"/>
    </row>
    <row r="144" spans="1:19" s="180" customFormat="1" ht="13.5" thickBot="1">
      <c r="A144" s="1328"/>
      <c r="B144" s="416"/>
      <c r="C144" s="297" t="s">
        <v>1146</v>
      </c>
      <c r="D144" s="575" t="s">
        <v>1147</v>
      </c>
      <c r="E144" s="177">
        <v>11627.62</v>
      </c>
      <c r="F144" s="8">
        <f t="shared" si="24"/>
        <v>6395.1910000000007</v>
      </c>
      <c r="G144" s="9">
        <f t="shared" si="25"/>
        <v>0</v>
      </c>
      <c r="H144" s="52">
        <f t="shared" si="26"/>
        <v>200.61714167000002</v>
      </c>
      <c r="I144" s="11">
        <f t="shared" si="27"/>
        <v>0</v>
      </c>
      <c r="J144" s="11">
        <f t="shared" si="49"/>
        <v>175.22823340000002</v>
      </c>
      <c r="K144" s="11">
        <f t="shared" si="29"/>
        <v>0</v>
      </c>
      <c r="L144" s="11">
        <f t="shared" si="48"/>
        <v>145.81035480000003</v>
      </c>
      <c r="M144" s="11">
        <f t="shared" si="31"/>
        <v>0</v>
      </c>
      <c r="N144" s="11">
        <f t="shared" si="32"/>
        <v>130.46189640000003</v>
      </c>
      <c r="O144" s="11">
        <f t="shared" si="33"/>
        <v>0</v>
      </c>
      <c r="P144" s="11">
        <f t="shared" si="47"/>
        <v>3.7114171208950002</v>
      </c>
      <c r="Q144" s="11">
        <f t="shared" si="35"/>
        <v>0</v>
      </c>
      <c r="R144" s="415"/>
      <c r="S144" s="415"/>
    </row>
    <row r="145" spans="1:19" s="180" customFormat="1" ht="13.5" thickBot="1">
      <c r="A145" s="1328"/>
      <c r="B145" s="416"/>
      <c r="C145" s="797" t="s">
        <v>1251</v>
      </c>
      <c r="D145" s="960" t="s">
        <v>1252</v>
      </c>
      <c r="E145" s="172">
        <v>6666.66</v>
      </c>
      <c r="F145" s="8">
        <f t="shared" si="24"/>
        <v>3666.663</v>
      </c>
      <c r="G145" s="9">
        <f t="shared" si="25"/>
        <v>0</v>
      </c>
      <c r="H145" s="52">
        <f t="shared" si="26"/>
        <v>115.02321831</v>
      </c>
      <c r="I145" s="11">
        <f t="shared" si="27"/>
        <v>0</v>
      </c>
      <c r="J145" s="11">
        <f t="shared" si="49"/>
        <v>100.4665662</v>
      </c>
      <c r="K145" s="11">
        <f t="shared" si="29"/>
        <v>0</v>
      </c>
      <c r="L145" s="11">
        <f t="shared" si="48"/>
        <v>83.599916399999998</v>
      </c>
      <c r="M145" s="11">
        <f t="shared" si="31"/>
        <v>0</v>
      </c>
      <c r="N145" s="11">
        <f t="shared" si="32"/>
        <v>74.799925200000004</v>
      </c>
      <c r="O145" s="11">
        <f t="shared" si="33"/>
        <v>0</v>
      </c>
      <c r="P145" s="11">
        <f t="shared" si="47"/>
        <v>2.1279295387350001</v>
      </c>
      <c r="Q145" s="11">
        <f t="shared" si="35"/>
        <v>0</v>
      </c>
      <c r="R145" s="415"/>
      <c r="S145" s="415"/>
    </row>
    <row r="146" spans="1:19" s="180" customFormat="1" ht="13.5" thickBot="1">
      <c r="A146" s="1328"/>
      <c r="B146" s="416"/>
      <c r="C146" s="173" t="s">
        <v>1253</v>
      </c>
      <c r="D146" s="960" t="s">
        <v>1254</v>
      </c>
      <c r="E146" s="172">
        <v>36766.33</v>
      </c>
      <c r="F146" s="8">
        <f t="shared" si="24"/>
        <v>20221.481500000002</v>
      </c>
      <c r="G146" s="9">
        <f t="shared" si="25"/>
        <v>0</v>
      </c>
      <c r="H146" s="52">
        <f t="shared" si="26"/>
        <v>634.34787465500006</v>
      </c>
      <c r="I146" s="11">
        <f t="shared" si="27"/>
        <v>0</v>
      </c>
      <c r="J146" s="11">
        <f t="shared" si="49"/>
        <v>554.06859310000004</v>
      </c>
      <c r="K146" s="11">
        <f t="shared" si="29"/>
        <v>0</v>
      </c>
      <c r="L146" s="11">
        <f t="shared" si="48"/>
        <v>461.04977820000005</v>
      </c>
      <c r="M146" s="11">
        <f t="shared" si="31"/>
        <v>0</v>
      </c>
      <c r="N146" s="11">
        <f t="shared" si="32"/>
        <v>412.51822260000006</v>
      </c>
      <c r="O146" s="11">
        <f t="shared" si="33"/>
        <v>0</v>
      </c>
      <c r="P146" s="11">
        <f t="shared" si="47"/>
        <v>11.735435681117501</v>
      </c>
      <c r="Q146" s="11">
        <f t="shared" si="35"/>
        <v>0</v>
      </c>
      <c r="R146" s="415"/>
      <c r="S146" s="415"/>
    </row>
    <row r="147" spans="1:19" s="180" customFormat="1" ht="13.5" thickBot="1">
      <c r="A147" s="1328"/>
      <c r="B147" s="416"/>
      <c r="C147" s="173" t="s">
        <v>1136</v>
      </c>
      <c r="D147" s="960" t="s">
        <v>1137</v>
      </c>
      <c r="E147" s="172">
        <v>2613.81</v>
      </c>
      <c r="F147" s="8">
        <f t="shared" si="24"/>
        <v>1437.5955000000001</v>
      </c>
      <c r="G147" s="9">
        <f t="shared" si="25"/>
        <v>0</v>
      </c>
      <c r="H147" s="52">
        <f t="shared" si="26"/>
        <v>45.097370835000007</v>
      </c>
      <c r="I147" s="11">
        <f t="shared" si="27"/>
        <v>0</v>
      </c>
      <c r="J147" s="11">
        <f t="shared" si="49"/>
        <v>39.390116700000007</v>
      </c>
      <c r="K147" s="11">
        <f t="shared" si="29"/>
        <v>0</v>
      </c>
      <c r="L147" s="11">
        <f t="shared" si="48"/>
        <v>32.777177400000006</v>
      </c>
      <c r="M147" s="11">
        <f t="shared" si="31"/>
        <v>0</v>
      </c>
      <c r="N147" s="11">
        <f t="shared" si="32"/>
        <v>29.326948200000004</v>
      </c>
      <c r="O147" s="11">
        <f t="shared" si="33"/>
        <v>0</v>
      </c>
      <c r="P147" s="11">
        <f t="shared" si="47"/>
        <v>0.83430136044750003</v>
      </c>
      <c r="Q147" s="11">
        <f t="shared" si="35"/>
        <v>0</v>
      </c>
      <c r="R147" s="415"/>
      <c r="S147" s="415"/>
    </row>
    <row r="148" spans="1:19" s="180" customFormat="1" ht="13.5" thickBot="1">
      <c r="A148" s="1328"/>
      <c r="B148" s="873"/>
      <c r="C148" s="173" t="s">
        <v>1255</v>
      </c>
      <c r="D148" s="960" t="s">
        <v>1256</v>
      </c>
      <c r="E148" s="174">
        <v>21425.81</v>
      </c>
      <c r="F148" s="52">
        <f t="shared" si="24"/>
        <v>11784.195500000002</v>
      </c>
      <c r="G148" s="53">
        <f t="shared" si="25"/>
        <v>0</v>
      </c>
      <c r="H148" s="52">
        <f t="shared" si="26"/>
        <v>369.67021283500009</v>
      </c>
      <c r="I148" s="11">
        <f t="shared" si="27"/>
        <v>0</v>
      </c>
      <c r="J148" s="11">
        <f t="shared" si="49"/>
        <v>322.88695670000004</v>
      </c>
      <c r="K148" s="11">
        <f t="shared" si="29"/>
        <v>0</v>
      </c>
      <c r="L148" s="11">
        <f t="shared" si="48"/>
        <v>268.67965740000005</v>
      </c>
      <c r="M148" s="11">
        <f t="shared" si="31"/>
        <v>0</v>
      </c>
      <c r="N148" s="11">
        <f t="shared" si="32"/>
        <v>240.39758820000006</v>
      </c>
      <c r="O148" s="11">
        <f t="shared" si="33"/>
        <v>0</v>
      </c>
      <c r="P148" s="11">
        <f t="shared" si="47"/>
        <v>6.8388989374475013</v>
      </c>
      <c r="Q148" s="11">
        <f t="shared" si="35"/>
        <v>0</v>
      </c>
      <c r="R148" s="415"/>
      <c r="S148" s="415"/>
    </row>
    <row r="149" spans="1:19" s="180" customFormat="1" ht="13.5" thickBot="1">
      <c r="A149" s="1328"/>
      <c r="B149" s="416"/>
      <c r="C149" s="173" t="s">
        <v>1257</v>
      </c>
      <c r="D149" s="960" t="s">
        <v>1258</v>
      </c>
      <c r="E149" s="172">
        <v>21395.78</v>
      </c>
      <c r="F149" s="8">
        <f t="shared" si="24"/>
        <v>11767.679</v>
      </c>
      <c r="G149" s="9">
        <f t="shared" si="25"/>
        <v>0</v>
      </c>
      <c r="H149" s="52">
        <f t="shared" si="26"/>
        <v>369.15209023</v>
      </c>
      <c r="I149" s="11">
        <f t="shared" si="27"/>
        <v>0</v>
      </c>
      <c r="J149" s="11">
        <f t="shared" si="49"/>
        <v>322.43440459999999</v>
      </c>
      <c r="K149" s="11">
        <f t="shared" si="29"/>
        <v>0</v>
      </c>
      <c r="L149" s="11">
        <f t="shared" si="48"/>
        <v>268.30308120000001</v>
      </c>
      <c r="M149" s="11">
        <f t="shared" si="31"/>
        <v>0</v>
      </c>
      <c r="N149" s="11">
        <f t="shared" si="32"/>
        <v>240.06065160000003</v>
      </c>
      <c r="O149" s="11">
        <f t="shared" si="33"/>
        <v>0</v>
      </c>
      <c r="P149" s="11">
        <f t="shared" si="47"/>
        <v>6.8293136692549998</v>
      </c>
      <c r="Q149" s="11">
        <f t="shared" si="35"/>
        <v>0</v>
      </c>
      <c r="R149" s="415"/>
      <c r="S149" s="415"/>
    </row>
    <row r="150" spans="1:19" s="180" customFormat="1" ht="13.5" thickBot="1">
      <c r="A150" s="1328"/>
      <c r="B150" s="416"/>
      <c r="C150" s="797" t="s">
        <v>1259</v>
      </c>
      <c r="D150" s="960" t="s">
        <v>1260</v>
      </c>
      <c r="E150" s="172">
        <v>6604.8</v>
      </c>
      <c r="F150" s="8">
        <f t="shared" si="24"/>
        <v>3632.6400000000003</v>
      </c>
      <c r="G150" s="9">
        <f t="shared" si="25"/>
        <v>0</v>
      </c>
      <c r="H150" s="52">
        <f t="shared" si="26"/>
        <v>113.95591680000001</v>
      </c>
      <c r="I150" s="11">
        <f t="shared" si="27"/>
        <v>0</v>
      </c>
      <c r="J150" s="11">
        <f t="shared" si="49"/>
        <v>99.53433600000001</v>
      </c>
      <c r="K150" s="11">
        <f t="shared" si="29"/>
        <v>0</v>
      </c>
      <c r="L150" s="11">
        <f t="shared" si="48"/>
        <v>82.824192000000011</v>
      </c>
      <c r="M150" s="11">
        <f t="shared" si="31"/>
        <v>0</v>
      </c>
      <c r="N150" s="11">
        <f t="shared" si="32"/>
        <v>74.105856000000017</v>
      </c>
      <c r="O150" s="11">
        <f t="shared" si="33"/>
        <v>0</v>
      </c>
      <c r="P150" s="11">
        <f t="shared" si="47"/>
        <v>2.1081844608</v>
      </c>
      <c r="Q150" s="11">
        <f t="shared" si="35"/>
        <v>0</v>
      </c>
      <c r="R150" s="415"/>
      <c r="S150" s="415"/>
    </row>
    <row r="151" spans="1:19" s="180" customFormat="1" ht="13.5" thickBot="1">
      <c r="A151" s="1328"/>
      <c r="B151" s="416"/>
      <c r="C151" s="798" t="s">
        <v>1261</v>
      </c>
      <c r="D151" s="961" t="s">
        <v>1262</v>
      </c>
      <c r="E151" s="177">
        <v>20929.71</v>
      </c>
      <c r="F151" s="8">
        <f t="shared" si="24"/>
        <v>11511.3405</v>
      </c>
      <c r="G151" s="9">
        <f t="shared" si="25"/>
        <v>0</v>
      </c>
      <c r="H151" s="52">
        <f t="shared" si="26"/>
        <v>361.11075148500004</v>
      </c>
      <c r="I151" s="11">
        <f t="shared" si="27"/>
        <v>0</v>
      </c>
      <c r="J151" s="11">
        <f t="shared" si="49"/>
        <v>315.41072969999999</v>
      </c>
      <c r="K151" s="11">
        <f t="shared" si="29"/>
        <v>0</v>
      </c>
      <c r="L151" s="11">
        <f t="shared" si="48"/>
        <v>262.4585634</v>
      </c>
      <c r="M151" s="11">
        <f t="shared" si="31"/>
        <v>0</v>
      </c>
      <c r="N151" s="11">
        <f t="shared" si="32"/>
        <v>234.83134620000001</v>
      </c>
      <c r="O151" s="11">
        <f t="shared" si="33"/>
        <v>0</v>
      </c>
      <c r="P151" s="11">
        <f t="shared" si="47"/>
        <v>6.6805489024725002</v>
      </c>
      <c r="Q151" s="11">
        <f t="shared" si="35"/>
        <v>0</v>
      </c>
      <c r="R151" s="415"/>
      <c r="S151" s="415"/>
    </row>
    <row r="152" spans="1:19" s="180" customFormat="1" ht="13.5" thickBot="1">
      <c r="A152" s="1328"/>
      <c r="B152" s="416"/>
      <c r="C152" s="297" t="s">
        <v>3973</v>
      </c>
      <c r="D152" s="575" t="s">
        <v>3974</v>
      </c>
      <c r="E152" s="177">
        <v>6534.53</v>
      </c>
      <c r="F152" s="8">
        <f t="shared" si="24"/>
        <v>3593.9915000000001</v>
      </c>
      <c r="G152" s="9">
        <f t="shared" si="25"/>
        <v>0</v>
      </c>
      <c r="H152" s="52">
        <f t="shared" si="26"/>
        <v>112.743513355</v>
      </c>
      <c r="I152" s="11">
        <f t="shared" si="27"/>
        <v>0</v>
      </c>
      <c r="J152" s="11">
        <f t="shared" si="49"/>
        <v>98.4753671</v>
      </c>
      <c r="K152" s="11">
        <f t="shared" si="29"/>
        <v>0</v>
      </c>
      <c r="L152" s="11">
        <f t="shared" si="48"/>
        <v>81.943006199999999</v>
      </c>
      <c r="M152" s="11">
        <f t="shared" si="31"/>
        <v>0</v>
      </c>
      <c r="N152" s="11">
        <f t="shared" si="32"/>
        <v>73.317426600000005</v>
      </c>
      <c r="O152" s="11">
        <f t="shared" si="33"/>
        <v>0</v>
      </c>
      <c r="P152" s="11">
        <f t="shared" si="47"/>
        <v>2.0857549970674998</v>
      </c>
      <c r="Q152" s="11">
        <f t="shared" si="35"/>
        <v>0</v>
      </c>
      <c r="R152" s="415"/>
      <c r="S152" s="415"/>
    </row>
    <row r="153" spans="1:19" s="180" customFormat="1" ht="13.5" thickBot="1">
      <c r="A153" s="1328"/>
      <c r="B153" s="416"/>
      <c r="C153" s="297" t="s">
        <v>3975</v>
      </c>
      <c r="D153" s="575" t="s">
        <v>3976</v>
      </c>
      <c r="E153" s="177">
        <v>43398.58</v>
      </c>
      <c r="F153" s="8">
        <f t="shared" si="24"/>
        <v>23869.219000000005</v>
      </c>
      <c r="G153" s="9">
        <f t="shared" si="25"/>
        <v>0</v>
      </c>
      <c r="H153" s="52">
        <f t="shared" si="26"/>
        <v>748.77740003000019</v>
      </c>
      <c r="I153" s="11">
        <f t="shared" si="27"/>
        <v>0</v>
      </c>
      <c r="J153" s="11">
        <f t="shared" si="49"/>
        <v>654.01660060000017</v>
      </c>
      <c r="K153" s="11">
        <f t="shared" si="29"/>
        <v>0</v>
      </c>
      <c r="L153" s="11">
        <f t="shared" si="48"/>
        <v>544.21819320000009</v>
      </c>
      <c r="M153" s="11">
        <f t="shared" si="31"/>
        <v>0</v>
      </c>
      <c r="N153" s="11">
        <f t="shared" si="32"/>
        <v>486.93206760000015</v>
      </c>
      <c r="O153" s="11">
        <f t="shared" si="33"/>
        <v>0</v>
      </c>
      <c r="P153" s="11">
        <f t="shared" si="47"/>
        <v>13.852381900555002</v>
      </c>
      <c r="Q153" s="11">
        <f t="shared" si="35"/>
        <v>0</v>
      </c>
      <c r="R153" s="415"/>
      <c r="S153" s="415"/>
    </row>
    <row r="154" spans="1:19" s="180" customFormat="1" ht="13.5" thickBot="1">
      <c r="A154" s="1328"/>
      <c r="B154" s="416"/>
      <c r="C154" s="797" t="s">
        <v>1331</v>
      </c>
      <c r="D154" s="960" t="s">
        <v>1332</v>
      </c>
      <c r="E154" s="172">
        <v>3303.3</v>
      </c>
      <c r="F154" s="8">
        <f t="shared" si="24"/>
        <v>1816.8150000000003</v>
      </c>
      <c r="G154" s="9">
        <f t="shared" si="25"/>
        <v>0</v>
      </c>
      <c r="H154" s="52">
        <f t="shared" si="26"/>
        <v>56.993486550000014</v>
      </c>
      <c r="I154" s="11">
        <f t="shared" si="27"/>
        <v>0</v>
      </c>
      <c r="J154" s="11">
        <f t="shared" si="49"/>
        <v>49.78073100000001</v>
      </c>
      <c r="K154" s="11">
        <f t="shared" si="29"/>
        <v>0</v>
      </c>
      <c r="L154" s="11">
        <f t="shared" si="48"/>
        <v>41.423382000000011</v>
      </c>
      <c r="M154" s="11">
        <f t="shared" si="31"/>
        <v>0</v>
      </c>
      <c r="N154" s="11">
        <f t="shared" si="32"/>
        <v>37.063026000000008</v>
      </c>
      <c r="O154" s="11">
        <f t="shared" si="33"/>
        <v>0</v>
      </c>
      <c r="P154" s="11">
        <f t="shared" si="47"/>
        <v>1.0543795011750001</v>
      </c>
      <c r="Q154" s="11">
        <f t="shared" si="35"/>
        <v>0</v>
      </c>
      <c r="R154" s="415"/>
      <c r="S154" s="415"/>
    </row>
    <row r="155" spans="1:19" s="180" customFormat="1" ht="13.5" thickBot="1">
      <c r="A155" s="1328"/>
      <c r="B155" s="416"/>
      <c r="C155" s="173" t="s">
        <v>1265</v>
      </c>
      <c r="D155" s="960" t="s">
        <v>1280</v>
      </c>
      <c r="E155" s="172">
        <v>10828.82</v>
      </c>
      <c r="F155" s="8">
        <f t="shared" si="24"/>
        <v>5955.8510000000006</v>
      </c>
      <c r="G155" s="9">
        <f t="shared" si="25"/>
        <v>0</v>
      </c>
      <c r="H155" s="52">
        <f t="shared" si="26"/>
        <v>186.83504587000002</v>
      </c>
      <c r="I155" s="11">
        <f t="shared" si="27"/>
        <v>0</v>
      </c>
      <c r="J155" s="11">
        <f t="shared" si="49"/>
        <v>163.19031740000003</v>
      </c>
      <c r="K155" s="11">
        <f t="shared" si="29"/>
        <v>0</v>
      </c>
      <c r="L155" s="11">
        <f t="shared" si="48"/>
        <v>135.79340280000002</v>
      </c>
      <c r="M155" s="11">
        <f t="shared" si="31"/>
        <v>0</v>
      </c>
      <c r="N155" s="11">
        <f t="shared" si="32"/>
        <v>121.49936040000001</v>
      </c>
      <c r="O155" s="11">
        <f t="shared" si="33"/>
        <v>0</v>
      </c>
      <c r="P155" s="11">
        <f t="shared" si="47"/>
        <v>3.4564483485949999</v>
      </c>
      <c r="Q155" s="11">
        <f t="shared" si="35"/>
        <v>0</v>
      </c>
      <c r="R155" s="415"/>
      <c r="S155" s="415"/>
    </row>
    <row r="156" spans="1:19" s="180" customFormat="1" ht="13.5" thickBot="1">
      <c r="A156" s="1328"/>
      <c r="B156" s="416"/>
      <c r="C156" s="297" t="s">
        <v>1268</v>
      </c>
      <c r="D156" s="575" t="s">
        <v>1269</v>
      </c>
      <c r="E156" s="177">
        <v>24034.82</v>
      </c>
      <c r="F156" s="8">
        <f t="shared" si="24"/>
        <v>13219.151000000002</v>
      </c>
      <c r="G156" s="9">
        <f t="shared" si="25"/>
        <v>0</v>
      </c>
      <c r="H156" s="52">
        <f t="shared" si="26"/>
        <v>414.68476687000009</v>
      </c>
      <c r="I156" s="11">
        <f t="shared" si="27"/>
        <v>0</v>
      </c>
      <c r="J156" s="11">
        <f t="shared" si="49"/>
        <v>362.20473740000006</v>
      </c>
      <c r="K156" s="11">
        <f t="shared" si="29"/>
        <v>0</v>
      </c>
      <c r="L156" s="11">
        <f t="shared" si="48"/>
        <v>301.39664280000005</v>
      </c>
      <c r="M156" s="11">
        <f t="shared" si="31"/>
        <v>0</v>
      </c>
      <c r="N156" s="11">
        <f t="shared" si="32"/>
        <v>269.67068040000004</v>
      </c>
      <c r="O156" s="11">
        <f t="shared" si="33"/>
        <v>0</v>
      </c>
      <c r="P156" s="11">
        <f t="shared" si="47"/>
        <v>7.6716681870950012</v>
      </c>
      <c r="Q156" s="11">
        <f t="shared" si="35"/>
        <v>0</v>
      </c>
      <c r="R156" s="415"/>
      <c r="S156" s="415"/>
    </row>
    <row r="157" spans="1:19" s="180" customFormat="1" ht="13.5" thickBot="1">
      <c r="A157" s="1328"/>
      <c r="B157" s="416"/>
      <c r="C157" s="297" t="s">
        <v>4020</v>
      </c>
      <c r="D157" s="575" t="s">
        <v>1350</v>
      </c>
      <c r="E157" s="177">
        <v>4225.82</v>
      </c>
      <c r="F157" s="8">
        <f t="shared" si="24"/>
        <v>2324.201</v>
      </c>
      <c r="G157" s="9">
        <f t="shared" si="25"/>
        <v>0</v>
      </c>
      <c r="H157" s="52">
        <f t="shared" si="26"/>
        <v>72.910185370000008</v>
      </c>
      <c r="I157" s="11">
        <f t="shared" si="27"/>
        <v>0</v>
      </c>
      <c r="J157" s="11">
        <f t="shared" si="49"/>
        <v>63.683107400000004</v>
      </c>
      <c r="K157" s="11">
        <f t="shared" si="29"/>
        <v>0</v>
      </c>
      <c r="L157" s="11">
        <f t="shared" si="48"/>
        <v>52.991782800000003</v>
      </c>
      <c r="M157" s="11">
        <f t="shared" si="31"/>
        <v>0</v>
      </c>
      <c r="N157" s="11">
        <f t="shared" si="32"/>
        <v>47.413700400000003</v>
      </c>
      <c r="O157" s="11">
        <f t="shared" si="33"/>
        <v>0</v>
      </c>
      <c r="P157" s="11">
        <f t="shared" si="47"/>
        <v>1.348838429345</v>
      </c>
      <c r="Q157" s="11">
        <f t="shared" si="35"/>
        <v>0</v>
      </c>
      <c r="R157" s="415"/>
      <c r="S157" s="415"/>
    </row>
    <row r="158" spans="1:19" s="180" customFormat="1" ht="13.5" thickBot="1">
      <c r="A158" s="1328"/>
      <c r="B158" s="416"/>
      <c r="C158" s="173" t="s">
        <v>1333</v>
      </c>
      <c r="D158" s="960" t="s">
        <v>1334</v>
      </c>
      <c r="E158" s="172">
        <v>1189.19</v>
      </c>
      <c r="F158" s="8">
        <f t="shared" si="24"/>
        <v>654.05450000000008</v>
      </c>
      <c r="G158" s="9">
        <f t="shared" si="25"/>
        <v>0</v>
      </c>
      <c r="H158" s="52">
        <f t="shared" si="26"/>
        <v>20.517689665000002</v>
      </c>
      <c r="I158" s="11">
        <f t="shared" si="27"/>
        <v>0</v>
      </c>
      <c r="J158" s="11">
        <f t="shared" si="49"/>
        <v>17.921093300000003</v>
      </c>
      <c r="K158" s="11">
        <f t="shared" si="29"/>
        <v>0</v>
      </c>
      <c r="L158" s="11">
        <f t="shared" si="48"/>
        <v>14.912442600000002</v>
      </c>
      <c r="M158" s="11">
        <f t="shared" si="31"/>
        <v>0</v>
      </c>
      <c r="N158" s="11">
        <f t="shared" si="32"/>
        <v>13.342711800000002</v>
      </c>
      <c r="O158" s="11">
        <f t="shared" si="33"/>
        <v>0</v>
      </c>
      <c r="P158" s="11">
        <f t="shared" si="47"/>
        <v>0.37957725880250004</v>
      </c>
      <c r="Q158" s="11">
        <f t="shared" si="35"/>
        <v>0</v>
      </c>
      <c r="R158" s="415"/>
      <c r="S158" s="415"/>
    </row>
    <row r="159" spans="1:19" s="180" customFormat="1" ht="13.5" thickBot="1">
      <c r="A159" s="1328"/>
      <c r="B159" s="416"/>
      <c r="C159" s="797" t="s">
        <v>1409</v>
      </c>
      <c r="D159" s="960" t="s">
        <v>1410</v>
      </c>
      <c r="E159" s="172">
        <v>1876.28</v>
      </c>
      <c r="F159" s="8">
        <f t="shared" si="24"/>
        <v>1031.9540000000002</v>
      </c>
      <c r="G159" s="9">
        <f t="shared" si="25"/>
        <v>0</v>
      </c>
      <c r="H159" s="52">
        <f t="shared" si="26"/>
        <v>32.372396980000005</v>
      </c>
      <c r="I159" s="11">
        <f t="shared" si="27"/>
        <v>0</v>
      </c>
      <c r="J159" s="11">
        <f t="shared" si="49"/>
        <v>28.275539600000005</v>
      </c>
      <c r="K159" s="11">
        <f t="shared" si="29"/>
        <v>0</v>
      </c>
      <c r="L159" s="11">
        <f t="shared" si="48"/>
        <v>23.528551200000006</v>
      </c>
      <c r="M159" s="11">
        <f t="shared" si="31"/>
        <v>0</v>
      </c>
      <c r="N159" s="11">
        <f t="shared" si="32"/>
        <v>21.051861600000006</v>
      </c>
      <c r="O159" s="11">
        <f t="shared" si="33"/>
        <v>0</v>
      </c>
      <c r="P159" s="11">
        <f t="shared" si="47"/>
        <v>0.59888934413000006</v>
      </c>
      <c r="Q159" s="11">
        <f t="shared" si="35"/>
        <v>0</v>
      </c>
      <c r="R159" s="415"/>
      <c r="S159" s="415"/>
    </row>
    <row r="160" spans="1:19" s="421" customFormat="1">
      <c r="A160" s="414"/>
      <c r="D160" s="1303" t="s">
        <v>65</v>
      </c>
      <c r="E160" s="1304"/>
      <c r="F160" s="1304"/>
      <c r="G160" s="51">
        <f>SUM(G30:G159)+G27</f>
        <v>0</v>
      </c>
      <c r="H160" s="178" t="s">
        <v>154</v>
      </c>
      <c r="I160" s="51">
        <f>SUM(I30:I159)+I27</f>
        <v>0</v>
      </c>
      <c r="J160" s="178" t="s">
        <v>155</v>
      </c>
      <c r="K160" s="51">
        <f>SUM(K30:K159)+K27</f>
        <v>0</v>
      </c>
      <c r="L160" s="178" t="s">
        <v>156</v>
      </c>
      <c r="M160" s="51">
        <f>SUM(M30:M159)+M27</f>
        <v>0</v>
      </c>
      <c r="N160" s="178" t="s">
        <v>1337</v>
      </c>
      <c r="O160" s="51">
        <f>SUM(O30:O159)+O27</f>
        <v>0</v>
      </c>
      <c r="P160" s="178" t="s">
        <v>1338</v>
      </c>
      <c r="Q160" s="51">
        <f>SUM(Q30:Q159)+Q27</f>
        <v>0</v>
      </c>
    </row>
    <row r="161" spans="6:8" s="421" customFormat="1" ht="12.75">
      <c r="F161" s="330"/>
      <c r="G161" s="330"/>
      <c r="H161" s="423"/>
    </row>
    <row r="162" spans="6:8" s="421" customFormat="1" ht="12.75">
      <c r="F162" s="330"/>
      <c r="G162" s="330"/>
    </row>
    <row r="163" spans="6:8" s="421" customFormat="1" ht="12.75">
      <c r="F163" s="330"/>
      <c r="G163" s="330"/>
    </row>
    <row r="164" spans="6:8" s="421" customFormat="1" ht="12.75">
      <c r="F164" s="330"/>
      <c r="G164" s="330"/>
    </row>
    <row r="165" spans="6:8" s="421" customFormat="1" ht="12.75">
      <c r="F165" s="330"/>
      <c r="G165" s="330"/>
    </row>
    <row r="166" spans="6:8" s="421" customFormat="1" ht="12.75">
      <c r="F166" s="330"/>
      <c r="G166" s="330"/>
    </row>
    <row r="167" spans="6:8" s="421" customFormat="1" ht="12.75">
      <c r="F167" s="330"/>
      <c r="G167" s="330"/>
    </row>
    <row r="168" spans="6:8" s="421" customFormat="1" ht="12.75">
      <c r="F168" s="330"/>
      <c r="G168" s="330"/>
    </row>
    <row r="169" spans="6:8" s="421" customFormat="1" ht="12.75">
      <c r="F169" s="330"/>
      <c r="G169" s="330"/>
    </row>
    <row r="170" spans="6:8" s="421" customFormat="1" ht="12.75">
      <c r="F170" s="330"/>
      <c r="G170" s="330"/>
    </row>
    <row r="171" spans="6:8" s="421" customFormat="1" ht="12.75">
      <c r="F171" s="330"/>
      <c r="G171" s="330"/>
    </row>
    <row r="172" spans="6:8" s="421" customFormat="1" ht="12.75">
      <c r="F172" s="330"/>
      <c r="G172" s="330"/>
    </row>
    <row r="173" spans="6:8" s="421" customFormat="1" ht="12.75">
      <c r="F173" s="330"/>
      <c r="G173" s="330"/>
    </row>
    <row r="174" spans="6:8" s="421" customFormat="1" ht="12.75">
      <c r="F174" s="330"/>
      <c r="G174" s="330"/>
    </row>
    <row r="175" spans="6:8" s="421" customFormat="1" ht="12.75">
      <c r="F175" s="330"/>
      <c r="G175" s="330"/>
    </row>
    <row r="176" spans="6:8" s="421" customFormat="1" ht="12.75">
      <c r="F176" s="330"/>
      <c r="G176" s="330"/>
    </row>
    <row r="177" spans="2:7" s="421" customFormat="1" ht="12.75">
      <c r="B177" s="179"/>
      <c r="C177" s="179"/>
      <c r="F177" s="330"/>
      <c r="G177" s="330"/>
    </row>
    <row r="178" spans="2:7" s="421" customFormat="1" ht="12.75">
      <c r="F178" s="330"/>
      <c r="G178" s="330"/>
    </row>
    <row r="179" spans="2:7" s="421" customFormat="1" ht="12.75">
      <c r="F179" s="330"/>
      <c r="G179" s="330"/>
    </row>
    <row r="180" spans="2:7" s="421" customFormat="1" ht="12.75">
      <c r="F180" s="330"/>
      <c r="G180" s="330"/>
    </row>
    <row r="181" spans="2:7" s="421" customFormat="1" ht="12.75">
      <c r="F181" s="330"/>
      <c r="G181" s="330"/>
    </row>
    <row r="182" spans="2:7" s="421" customFormat="1" ht="12.75">
      <c r="F182" s="330"/>
      <c r="G182" s="330"/>
    </row>
    <row r="183" spans="2:7" s="421" customFormat="1" ht="12.75">
      <c r="F183" s="330"/>
      <c r="G183" s="330"/>
    </row>
    <row r="184" spans="2:7" s="421" customFormat="1" ht="12.75">
      <c r="F184" s="330"/>
      <c r="G184" s="330"/>
    </row>
    <row r="185" spans="2:7" s="421" customFormat="1" ht="12.75">
      <c r="F185" s="330"/>
      <c r="G185" s="330"/>
    </row>
    <row r="186" spans="2:7" s="421" customFormat="1" ht="12.75">
      <c r="F186" s="330"/>
      <c r="G186" s="330"/>
    </row>
    <row r="187" spans="2:7" s="421" customFormat="1" ht="12.75">
      <c r="F187" s="330"/>
      <c r="G187" s="330"/>
    </row>
    <row r="188" spans="2:7" s="421" customFormat="1" ht="12.75">
      <c r="F188" s="330"/>
      <c r="G188" s="330"/>
    </row>
    <row r="189" spans="2:7" s="421" customFormat="1" ht="12.75">
      <c r="F189" s="330"/>
      <c r="G189" s="330"/>
    </row>
    <row r="190" spans="2:7" s="421" customFormat="1" ht="12.75">
      <c r="F190" s="330"/>
      <c r="G190" s="330"/>
    </row>
    <row r="191" spans="2:7" s="421" customFormat="1" ht="12.75">
      <c r="F191" s="330"/>
      <c r="G191" s="330"/>
    </row>
    <row r="192" spans="2:7" s="421" customFormat="1" ht="12.75">
      <c r="F192" s="330"/>
      <c r="G192" s="330"/>
    </row>
    <row r="193" spans="6:7" s="421" customFormat="1" ht="12.75">
      <c r="F193" s="330"/>
      <c r="G193" s="330"/>
    </row>
    <row r="194" spans="6:7" s="421" customFormat="1" ht="12.75">
      <c r="F194" s="330"/>
      <c r="G194" s="330"/>
    </row>
    <row r="195" spans="6:7" s="421" customFormat="1" ht="12.75">
      <c r="F195" s="330"/>
      <c r="G195" s="330"/>
    </row>
    <row r="196" spans="6:7" s="421" customFormat="1" ht="12.75">
      <c r="F196" s="330"/>
      <c r="G196" s="330"/>
    </row>
    <row r="197" spans="6:7" s="421" customFormat="1" ht="12.75">
      <c r="F197" s="330"/>
      <c r="G197" s="330"/>
    </row>
    <row r="198" spans="6:7" s="421" customFormat="1" ht="12.75">
      <c r="F198" s="330"/>
      <c r="G198" s="330"/>
    </row>
    <row r="199" spans="6:7" s="421" customFormat="1" ht="12.75">
      <c r="F199" s="330"/>
      <c r="G199" s="330"/>
    </row>
    <row r="200" spans="6:7" s="421" customFormat="1" ht="12.75">
      <c r="F200" s="330"/>
      <c r="G200" s="330"/>
    </row>
    <row r="201" spans="6:7" s="421" customFormat="1" ht="12.75">
      <c r="F201" s="330"/>
      <c r="G201" s="330"/>
    </row>
    <row r="202" spans="6:7" s="421" customFormat="1" ht="12.75">
      <c r="F202" s="330"/>
      <c r="G202" s="330"/>
    </row>
    <row r="203" spans="6:7" s="421" customFormat="1" ht="12.75">
      <c r="F203" s="330"/>
      <c r="G203" s="330"/>
    </row>
    <row r="204" spans="6:7" s="421" customFormat="1" ht="12.75">
      <c r="F204" s="330"/>
      <c r="G204" s="330"/>
    </row>
    <row r="205" spans="6:7" s="421" customFormat="1" ht="12.75">
      <c r="F205" s="330"/>
      <c r="G205" s="330"/>
    </row>
    <row r="206" spans="6:7" s="421" customFormat="1" ht="12.75">
      <c r="F206" s="330"/>
      <c r="G206" s="330"/>
    </row>
    <row r="207" spans="6:7" s="421" customFormat="1" ht="12.75">
      <c r="F207" s="330"/>
      <c r="G207" s="330"/>
    </row>
    <row r="208" spans="6:7" s="421" customFormat="1" ht="12.75">
      <c r="F208" s="330"/>
      <c r="G208" s="330"/>
    </row>
    <row r="209" spans="6:7" s="421" customFormat="1" ht="12.75">
      <c r="F209" s="330"/>
      <c r="G209" s="330"/>
    </row>
    <row r="210" spans="6:7" s="421" customFormat="1" ht="12.75">
      <c r="F210" s="330"/>
      <c r="G210" s="330"/>
    </row>
    <row r="211" spans="6:7" s="421" customFormat="1" ht="12.75">
      <c r="F211" s="330"/>
      <c r="G211" s="330"/>
    </row>
    <row r="212" spans="6:7" s="421" customFormat="1" ht="12.75">
      <c r="F212" s="330"/>
      <c r="G212" s="330"/>
    </row>
    <row r="213" spans="6:7" s="421" customFormat="1" ht="12.75">
      <c r="F213" s="330"/>
      <c r="G213" s="330"/>
    </row>
    <row r="214" spans="6:7" s="421" customFormat="1" ht="12.75">
      <c r="F214" s="330"/>
      <c r="G214" s="330"/>
    </row>
    <row r="215" spans="6:7" s="421" customFormat="1" ht="12.75">
      <c r="F215" s="330"/>
      <c r="G215" s="330"/>
    </row>
    <row r="216" spans="6:7" s="421" customFormat="1" ht="12.75">
      <c r="F216" s="330"/>
      <c r="G216" s="330"/>
    </row>
    <row r="217" spans="6:7" s="421" customFormat="1" ht="12.75">
      <c r="F217" s="330"/>
      <c r="G217" s="330"/>
    </row>
    <row r="218" spans="6:7" s="421" customFormat="1" ht="12.75">
      <c r="F218" s="330"/>
      <c r="G218" s="330"/>
    </row>
    <row r="219" spans="6:7" s="421" customFormat="1" ht="12.75">
      <c r="F219" s="330"/>
      <c r="G219" s="330"/>
    </row>
    <row r="220" spans="6:7" s="421" customFormat="1" ht="12.75">
      <c r="F220" s="330"/>
      <c r="G220" s="330"/>
    </row>
    <row r="221" spans="6:7" s="421" customFormat="1" ht="12.75">
      <c r="F221" s="330"/>
      <c r="G221" s="330"/>
    </row>
    <row r="222" spans="6:7" s="421" customFormat="1" ht="12.75">
      <c r="F222" s="330"/>
      <c r="G222" s="330"/>
    </row>
    <row r="223" spans="6:7" s="421" customFormat="1" ht="12.75">
      <c r="F223" s="330"/>
      <c r="G223" s="330"/>
    </row>
    <row r="224" spans="6:7" s="421" customFormat="1" ht="12.75">
      <c r="F224" s="330"/>
      <c r="G224" s="330"/>
    </row>
    <row r="225" spans="6:7" s="421" customFormat="1" ht="12.75">
      <c r="F225" s="330"/>
      <c r="G225" s="330"/>
    </row>
    <row r="226" spans="6:7" s="421" customFormat="1" ht="12.75">
      <c r="F226" s="330"/>
      <c r="G226" s="330"/>
    </row>
    <row r="227" spans="6:7" s="421" customFormat="1" ht="12.75">
      <c r="F227" s="330"/>
      <c r="G227" s="330"/>
    </row>
    <row r="228" spans="6:7" s="421" customFormat="1" ht="12.75">
      <c r="F228" s="330"/>
      <c r="G228" s="330"/>
    </row>
    <row r="229" spans="6:7" s="421" customFormat="1" ht="12.75">
      <c r="F229" s="330"/>
      <c r="G229" s="330"/>
    </row>
    <row r="230" spans="6:7" s="421" customFormat="1" ht="12.75">
      <c r="F230" s="330"/>
      <c r="G230" s="330"/>
    </row>
    <row r="231" spans="6:7" s="421" customFormat="1" ht="12.75">
      <c r="F231" s="330"/>
      <c r="G231" s="330"/>
    </row>
    <row r="232" spans="6:7" s="421" customFormat="1" ht="12.75">
      <c r="F232" s="330"/>
      <c r="G232" s="330"/>
    </row>
    <row r="233" spans="6:7" s="421" customFormat="1" ht="12.75">
      <c r="F233" s="330"/>
      <c r="G233" s="330"/>
    </row>
    <row r="234" spans="6:7" s="421" customFormat="1" ht="12.75">
      <c r="F234" s="330"/>
      <c r="G234" s="330"/>
    </row>
    <row r="235" spans="6:7" s="421" customFormat="1" ht="12.75">
      <c r="F235" s="330"/>
      <c r="G235" s="330"/>
    </row>
    <row r="236" spans="6:7" s="421" customFormat="1" ht="12.75">
      <c r="F236" s="330"/>
      <c r="G236" s="330"/>
    </row>
    <row r="237" spans="6:7" s="421" customFormat="1" ht="12.75">
      <c r="F237" s="330"/>
      <c r="G237" s="330"/>
    </row>
    <row r="238" spans="6:7" s="421" customFormat="1" ht="12.75">
      <c r="F238" s="330"/>
      <c r="G238" s="330"/>
    </row>
    <row r="239" spans="6:7" s="421" customFormat="1" ht="12.75">
      <c r="F239" s="330"/>
      <c r="G239" s="330"/>
    </row>
    <row r="240" spans="6:7" s="421" customFormat="1" ht="12.75">
      <c r="F240" s="330"/>
      <c r="G240" s="330"/>
    </row>
    <row r="241" spans="6:7" s="421" customFormat="1" ht="12.75">
      <c r="F241" s="330"/>
      <c r="G241" s="330"/>
    </row>
    <row r="242" spans="6:7" s="421" customFormat="1" ht="12.75">
      <c r="F242" s="330"/>
      <c r="G242" s="330"/>
    </row>
    <row r="243" spans="6:7" s="421" customFormat="1" ht="12.75">
      <c r="F243" s="330"/>
      <c r="G243" s="330"/>
    </row>
    <row r="244" spans="6:7" s="421" customFormat="1" ht="12.75">
      <c r="F244" s="330"/>
      <c r="G244" s="330"/>
    </row>
    <row r="245" spans="6:7" s="421" customFormat="1" ht="12.75">
      <c r="F245" s="330"/>
      <c r="G245" s="330"/>
    </row>
    <row r="246" spans="6:7" s="421" customFormat="1" ht="12.75">
      <c r="F246" s="330"/>
      <c r="G246" s="330"/>
    </row>
    <row r="247" spans="6:7" s="421" customFormat="1" ht="12.75">
      <c r="F247" s="330"/>
      <c r="G247" s="330"/>
    </row>
    <row r="248" spans="6:7" s="421" customFormat="1" ht="12.75">
      <c r="F248" s="330"/>
      <c r="G248" s="330"/>
    </row>
    <row r="249" spans="6:7" s="421" customFormat="1" ht="12.75">
      <c r="F249" s="330"/>
      <c r="G249" s="330"/>
    </row>
    <row r="250" spans="6:7" s="421" customFormat="1" ht="12.75">
      <c r="F250" s="330"/>
      <c r="G250" s="330"/>
    </row>
    <row r="251" spans="6:7" s="421" customFormat="1" ht="12.75">
      <c r="F251" s="330"/>
      <c r="G251" s="330"/>
    </row>
    <row r="252" spans="6:7" s="421" customFormat="1" ht="12.75">
      <c r="F252" s="330"/>
      <c r="G252" s="330"/>
    </row>
    <row r="253" spans="6:7" s="421" customFormat="1" ht="12.75">
      <c r="F253" s="330"/>
      <c r="G253" s="330"/>
    </row>
    <row r="254" spans="6:7" s="421" customFormat="1" ht="12.75">
      <c r="F254" s="330"/>
      <c r="G254" s="330"/>
    </row>
    <row r="255" spans="6:7" s="421" customFormat="1" ht="12.75">
      <c r="F255" s="330"/>
      <c r="G255" s="330"/>
    </row>
    <row r="256" spans="6:7" s="421" customFormat="1" ht="12.75">
      <c r="F256" s="330"/>
      <c r="G256" s="330"/>
    </row>
    <row r="257" spans="1:17" s="421" customFormat="1" ht="12.75">
      <c r="F257" s="330"/>
      <c r="G257" s="330"/>
    </row>
    <row r="258" spans="1:17" s="421" customFormat="1" ht="12.75">
      <c r="F258" s="330"/>
      <c r="G258" s="330"/>
    </row>
    <row r="259" spans="1:17" s="421" customFormat="1" ht="12.75">
      <c r="F259" s="330"/>
      <c r="G259" s="330"/>
    </row>
    <row r="260" spans="1:17" s="421" customFormat="1" ht="12.75">
      <c r="F260" s="330"/>
      <c r="G260" s="330"/>
    </row>
    <row r="261" spans="1:17">
      <c r="A261" s="421"/>
      <c r="B261" s="421"/>
      <c r="C261" s="421"/>
      <c r="D261" s="421"/>
      <c r="E261" s="421"/>
      <c r="F261" s="330"/>
      <c r="G261" s="330"/>
      <c r="H261" s="421"/>
      <c r="I261" s="421"/>
      <c r="J261" s="421"/>
      <c r="K261" s="421"/>
      <c r="L261" s="421"/>
      <c r="M261" s="421"/>
      <c r="N261" s="421"/>
      <c r="O261" s="421"/>
      <c r="P261" s="421"/>
      <c r="Q261" s="421"/>
    </row>
    <row r="262" spans="1:17">
      <c r="A262" s="421"/>
      <c r="B262" s="421"/>
      <c r="C262" s="421"/>
      <c r="D262" s="421"/>
      <c r="E262" s="421"/>
      <c r="F262" s="330"/>
      <c r="G262" s="330"/>
      <c r="H262" s="421"/>
      <c r="I262" s="421"/>
      <c r="J262" s="421"/>
      <c r="K262" s="421"/>
      <c r="L262" s="421"/>
      <c r="M262" s="421"/>
      <c r="N262" s="421"/>
      <c r="O262" s="421"/>
      <c r="P262" s="421"/>
      <c r="Q262" s="421"/>
    </row>
    <row r="263" spans="1:17">
      <c r="A263" s="421"/>
      <c r="B263" s="421"/>
      <c r="C263" s="421"/>
      <c r="D263" s="421"/>
      <c r="E263" s="421"/>
      <c r="F263" s="330"/>
      <c r="G263" s="330"/>
      <c r="I263" s="421"/>
      <c r="J263" s="421"/>
      <c r="K263" s="421"/>
      <c r="L263" s="421"/>
      <c r="M263" s="421"/>
      <c r="N263" s="421"/>
      <c r="O263" s="421"/>
      <c r="P263" s="421"/>
      <c r="Q263" s="421"/>
    </row>
  </sheetData>
  <mergeCells count="18">
    <mergeCell ref="F25:G25"/>
    <mergeCell ref="H25:Q25"/>
    <mergeCell ref="A4:O4"/>
    <mergeCell ref="A5:O5"/>
    <mergeCell ref="F8:I8"/>
    <mergeCell ref="A21:S21"/>
    <mergeCell ref="A22:S22"/>
    <mergeCell ref="O27:O28"/>
    <mergeCell ref="Q27:Q28"/>
    <mergeCell ref="A29:Q29"/>
    <mergeCell ref="A30:A159"/>
    <mergeCell ref="D160:F160"/>
    <mergeCell ref="A27:A28"/>
    <mergeCell ref="B27:B28"/>
    <mergeCell ref="G27:G28"/>
    <mergeCell ref="I27:I28"/>
    <mergeCell ref="K27:K28"/>
    <mergeCell ref="M27:M28"/>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0827-F689-4232-8986-802E45F4F60E}">
  <sheetPr>
    <tabColor indexed="62"/>
  </sheetPr>
  <dimension ref="A1:P118"/>
  <sheetViews>
    <sheetView topLeftCell="D18" zoomScaleNormal="100" workbookViewId="0">
      <selection activeCell="D36" sqref="D36"/>
    </sheetView>
  </sheetViews>
  <sheetFormatPr defaultColWidth="8.85546875" defaultRowHeight="12.75"/>
  <cols>
    <col min="1" max="1" width="14.140625" style="256" customWidth="1"/>
    <col min="2" max="2" width="10.5703125" style="256" customWidth="1"/>
    <col min="3" max="3" width="20.28515625" style="256" customWidth="1"/>
    <col min="4" max="4" width="44.42578125" style="256" customWidth="1"/>
    <col min="5" max="5" width="15.7109375" style="256" customWidth="1"/>
    <col min="6" max="6" width="13.85546875" style="333" customWidth="1"/>
    <col min="7" max="7" width="15.7109375" style="256" customWidth="1"/>
    <col min="8" max="8" width="22.85546875" style="256" customWidth="1"/>
    <col min="9" max="10" width="23" style="256" customWidth="1"/>
    <col min="11" max="11" width="22.28515625" style="256" customWidth="1"/>
    <col min="12" max="12" width="25.28515625" style="256" customWidth="1"/>
    <col min="13" max="13" width="23" style="256" customWidth="1"/>
    <col min="14" max="14" width="23.5703125" style="256" customWidth="1"/>
    <col min="15" max="15" width="21" style="256" customWidth="1"/>
    <col min="16" max="16" width="12.42578125" style="256" customWidth="1"/>
    <col min="17" max="16384" width="8.85546875" style="256"/>
  </cols>
  <sheetData>
    <row r="1" spans="1:16" ht="13.5" thickBot="1">
      <c r="C1" s="257"/>
      <c r="D1" s="258"/>
      <c r="E1" s="258"/>
      <c r="F1" s="259"/>
      <c r="G1" s="259"/>
      <c r="H1" s="259"/>
      <c r="I1" s="259"/>
      <c r="J1" s="259"/>
      <c r="K1" s="259"/>
      <c r="L1" s="259"/>
    </row>
    <row r="2" spans="1:16" ht="9" customHeight="1">
      <c r="A2" s="260"/>
      <c r="B2" s="260"/>
      <c r="C2" s="261"/>
      <c r="D2" s="262"/>
      <c r="E2" s="262"/>
      <c r="F2" s="263"/>
      <c r="G2" s="264"/>
      <c r="H2" s="263"/>
      <c r="I2" s="264"/>
      <c r="J2" s="264"/>
      <c r="K2" s="264"/>
      <c r="L2" s="264"/>
      <c r="M2" s="260"/>
      <c r="N2" s="260"/>
      <c r="O2" s="260"/>
    </row>
    <row r="3" spans="1:16" ht="10.5" customHeight="1">
      <c r="C3" s="257"/>
      <c r="D3" s="258"/>
      <c r="E3" s="258"/>
      <c r="F3" s="259"/>
      <c r="G3" s="265"/>
      <c r="H3" s="259"/>
      <c r="I3" s="265"/>
      <c r="J3" s="265"/>
      <c r="K3" s="265"/>
      <c r="L3" s="265"/>
    </row>
    <row r="4" spans="1:16" ht="30">
      <c r="A4" s="1043" t="s">
        <v>226</v>
      </c>
      <c r="B4" s="1020"/>
      <c r="C4" s="1020"/>
      <c r="D4" s="1020"/>
      <c r="E4" s="1020"/>
      <c r="F4" s="1020"/>
      <c r="G4" s="1020"/>
      <c r="H4" s="1020"/>
      <c r="I4" s="1020"/>
      <c r="J4" s="1020"/>
      <c r="K4" s="1020"/>
      <c r="L4" s="1020"/>
      <c r="M4" s="1020"/>
      <c r="N4" s="1020"/>
      <c r="O4" s="1020"/>
    </row>
    <row r="5" spans="1:16" s="266" customFormat="1" ht="38.25" customHeight="1">
      <c r="A5" s="1044" t="s">
        <v>227</v>
      </c>
      <c r="B5" s="1110"/>
      <c r="C5" s="1110"/>
      <c r="D5" s="1110"/>
      <c r="E5" s="1110"/>
      <c r="F5" s="1110"/>
      <c r="G5" s="1110"/>
      <c r="H5" s="1110"/>
      <c r="I5" s="1110"/>
      <c r="J5" s="1110"/>
      <c r="K5" s="1110"/>
      <c r="L5" s="1110"/>
      <c r="M5" s="1110"/>
      <c r="N5" s="1110"/>
      <c r="O5" s="1110"/>
      <c r="P5" s="256"/>
    </row>
    <row r="6" spans="1:16" ht="9" customHeight="1" thickBot="1">
      <c r="A6" s="542"/>
      <c r="B6" s="542"/>
      <c r="C6" s="542"/>
      <c r="D6" s="542"/>
      <c r="E6" s="542"/>
      <c r="F6" s="542"/>
      <c r="G6" s="542"/>
      <c r="H6" s="542"/>
      <c r="I6" s="542"/>
      <c r="J6" s="542"/>
      <c r="K6" s="542"/>
      <c r="L6" s="542"/>
      <c r="M6" s="542"/>
      <c r="N6" s="542"/>
      <c r="O6" s="542"/>
    </row>
    <row r="8" spans="1:16" s="265" customFormat="1" ht="14.25">
      <c r="C8" s="268"/>
      <c r="D8" s="269"/>
      <c r="E8" s="269"/>
      <c r="F8" s="269"/>
      <c r="G8" s="269"/>
      <c r="H8" s="269"/>
      <c r="I8" s="269"/>
      <c r="J8" s="269"/>
      <c r="K8" s="269"/>
      <c r="L8" s="269"/>
      <c r="M8" s="269"/>
      <c r="N8" s="269"/>
    </row>
    <row r="9" spans="1:16" s="265" customFormat="1" ht="14.25">
      <c r="F9" s="446"/>
      <c r="G9" s="446"/>
      <c r="H9" s="1046" t="s">
        <v>0</v>
      </c>
      <c r="I9" s="1046"/>
      <c r="J9" s="1046"/>
      <c r="K9" s="507"/>
      <c r="L9" s="507"/>
    </row>
    <row r="10" spans="1:16" s="265" customFormat="1" ht="14.25">
      <c r="H10" s="275" t="s">
        <v>1</v>
      </c>
      <c r="I10" s="265" t="s">
        <v>179</v>
      </c>
    </row>
    <row r="11" spans="1:16" s="265" customFormat="1">
      <c r="G11" s="282"/>
      <c r="H11" s="270" t="s">
        <v>3</v>
      </c>
      <c r="I11" s="282" t="s">
        <v>228</v>
      </c>
      <c r="J11" s="282"/>
      <c r="L11" s="282"/>
    </row>
    <row r="12" spans="1:16" s="265" customFormat="1">
      <c r="F12" s="446"/>
      <c r="G12" s="282"/>
      <c r="H12" s="270" t="s">
        <v>7</v>
      </c>
      <c r="I12" s="556">
        <v>150000</v>
      </c>
      <c r="J12" s="282"/>
      <c r="L12" s="282"/>
    </row>
    <row r="13" spans="1:16" s="265" customFormat="1">
      <c r="F13" s="446"/>
      <c r="H13" s="270" t="s">
        <v>8</v>
      </c>
      <c r="I13" s="265" t="s">
        <v>229</v>
      </c>
    </row>
    <row r="14" spans="1:16" s="265" customFormat="1">
      <c r="F14" s="446"/>
      <c r="H14" s="270" t="s">
        <v>10</v>
      </c>
      <c r="I14" s="265" t="s">
        <v>182</v>
      </c>
    </row>
    <row r="15" spans="1:16" s="265" customFormat="1">
      <c r="C15" s="508"/>
      <c r="F15" s="302"/>
      <c r="H15" s="270" t="s">
        <v>183</v>
      </c>
      <c r="I15" s="265" t="s">
        <v>230</v>
      </c>
    </row>
    <row r="16" spans="1:16" s="265" customFormat="1">
      <c r="F16" s="446"/>
      <c r="H16" s="270" t="s">
        <v>185</v>
      </c>
      <c r="I16" s="265" t="s">
        <v>231</v>
      </c>
    </row>
    <row r="17" spans="1:16" s="265" customFormat="1">
      <c r="H17" s="270" t="s">
        <v>14</v>
      </c>
      <c r="I17" s="265" t="s">
        <v>15</v>
      </c>
    </row>
    <row r="18" spans="1:16" s="265" customFormat="1">
      <c r="F18" s="446"/>
      <c r="I18" s="265" t="s">
        <v>187</v>
      </c>
    </row>
    <row r="19" spans="1:16" s="265" customFormat="1">
      <c r="F19" s="446"/>
      <c r="I19" s="265" t="s">
        <v>188</v>
      </c>
    </row>
    <row r="20" spans="1:16" s="265" customFormat="1">
      <c r="F20" s="446"/>
      <c r="H20" s="270" t="s">
        <v>16</v>
      </c>
      <c r="I20" s="265" t="s">
        <v>232</v>
      </c>
    </row>
    <row r="21" spans="1:16" s="265" customFormat="1">
      <c r="F21" s="446"/>
      <c r="H21" s="270" t="s">
        <v>18</v>
      </c>
      <c r="I21" s="265" t="s">
        <v>190</v>
      </c>
    </row>
    <row r="22" spans="1:16" s="265" customFormat="1">
      <c r="F22" s="446"/>
      <c r="G22" s="282"/>
      <c r="H22" s="270" t="s">
        <v>20</v>
      </c>
      <c r="I22" s="282" t="s">
        <v>233</v>
      </c>
      <c r="J22" s="282"/>
      <c r="L22" s="282"/>
    </row>
    <row r="23" spans="1:16" s="265" customFormat="1" ht="15.75" customHeight="1">
      <c r="D23" s="1047"/>
      <c r="E23" s="277"/>
      <c r="F23" s="283"/>
      <c r="H23" s="270" t="s">
        <v>22</v>
      </c>
      <c r="I23" s="265" t="s">
        <v>234</v>
      </c>
    </row>
    <row r="24" spans="1:16" s="265" customFormat="1" ht="12.75" customHeight="1">
      <c r="D24" s="1047"/>
      <c r="E24" s="277"/>
      <c r="F24" s="283"/>
      <c r="H24" s="270" t="s">
        <v>24</v>
      </c>
      <c r="I24" s="265" t="s">
        <v>235</v>
      </c>
    </row>
    <row r="25" spans="1:16" s="265" customFormat="1" ht="12.75" customHeight="1">
      <c r="D25" s="277"/>
      <c r="E25" s="277"/>
      <c r="F25" s="283"/>
      <c r="H25" s="270" t="s">
        <v>26</v>
      </c>
      <c r="I25" s="265" t="s">
        <v>236</v>
      </c>
    </row>
    <row r="26" spans="1:16" s="265" customFormat="1" ht="12.75" customHeight="1">
      <c r="D26" s="277"/>
      <c r="E26" s="277"/>
      <c r="F26" s="283"/>
      <c r="H26" s="270" t="s">
        <v>28</v>
      </c>
      <c r="I26" s="265" t="s">
        <v>237</v>
      </c>
    </row>
    <row r="27" spans="1:16" s="265" customFormat="1" ht="15" thickBot="1">
      <c r="A27" s="1111" t="s">
        <v>30</v>
      </c>
      <c r="B27" s="1033"/>
      <c r="C27" s="1033"/>
      <c r="D27" s="1033"/>
      <c r="E27" s="1033"/>
      <c r="F27" s="1033"/>
      <c r="G27" s="1033"/>
      <c r="H27" s="1033"/>
      <c r="I27" s="1033"/>
      <c r="J27" s="1033"/>
      <c r="K27" s="1033"/>
      <c r="L27" s="1033"/>
      <c r="M27" s="1033"/>
      <c r="N27" s="1033"/>
      <c r="O27" s="1033"/>
      <c r="P27" s="256"/>
    </row>
    <row r="28" spans="1:16" s="265" customFormat="1" ht="14.25">
      <c r="A28" s="1105" t="s">
        <v>196</v>
      </c>
      <c r="B28" s="1106"/>
      <c r="C28" s="1106"/>
      <c r="D28" s="1107"/>
      <c r="E28" s="1108" t="s">
        <v>197</v>
      </c>
      <c r="F28" s="1010"/>
      <c r="G28" s="1010"/>
      <c r="H28" s="1010"/>
      <c r="I28" s="1010"/>
      <c r="J28" s="1109"/>
      <c r="K28" s="1105" t="s">
        <v>198</v>
      </c>
      <c r="L28" s="1010"/>
      <c r="M28" s="1010"/>
      <c r="N28" s="1010"/>
      <c r="O28" s="1109"/>
      <c r="P28" s="256"/>
    </row>
    <row r="29" spans="1:16" s="265" customFormat="1" ht="12.75" customHeight="1">
      <c r="A29" s="1028" t="s">
        <v>33</v>
      </c>
      <c r="B29" s="1029"/>
      <c r="C29" s="1029"/>
      <c r="D29" s="279" t="s">
        <v>34</v>
      </c>
      <c r="E29" s="1028" t="s">
        <v>33</v>
      </c>
      <c r="F29" s="1020"/>
      <c r="G29" s="1020"/>
      <c r="H29" s="1020"/>
      <c r="I29" s="1093" t="s">
        <v>35</v>
      </c>
      <c r="J29" s="1094"/>
      <c r="K29" s="1028" t="s">
        <v>33</v>
      </c>
      <c r="L29" s="1020"/>
      <c r="M29" s="1020"/>
      <c r="N29" s="1095" t="s">
        <v>35</v>
      </c>
      <c r="O29" s="1096"/>
    </row>
    <row r="30" spans="1:16" s="265" customFormat="1" ht="12.75" customHeight="1">
      <c r="A30" s="1028" t="s">
        <v>199</v>
      </c>
      <c r="B30" s="1029"/>
      <c r="C30" s="1029"/>
      <c r="D30" s="280">
        <v>0</v>
      </c>
      <c r="E30" s="1028" t="s">
        <v>199</v>
      </c>
      <c r="F30" s="1020"/>
      <c r="G30" s="1020"/>
      <c r="H30" s="1020"/>
      <c r="I30" s="1102">
        <v>428</v>
      </c>
      <c r="J30" s="1094"/>
      <c r="K30" s="1028" t="s">
        <v>199</v>
      </c>
      <c r="L30" s="1020"/>
      <c r="M30" s="1020"/>
      <c r="N30" s="1103">
        <v>642</v>
      </c>
      <c r="O30" s="1104"/>
      <c r="P30" s="273"/>
    </row>
    <row r="31" spans="1:16" s="265" customFormat="1" ht="12.75" customHeight="1">
      <c r="A31" s="1028" t="s">
        <v>37</v>
      </c>
      <c r="B31" s="1029"/>
      <c r="C31" s="1029"/>
      <c r="D31" s="279" t="s">
        <v>38</v>
      </c>
      <c r="E31" s="1028" t="s">
        <v>37</v>
      </c>
      <c r="F31" s="1020"/>
      <c r="G31" s="1020"/>
      <c r="H31" s="1020"/>
      <c r="I31" s="1093" t="s">
        <v>200</v>
      </c>
      <c r="J31" s="1094"/>
      <c r="K31" s="1028" t="s">
        <v>37</v>
      </c>
      <c r="L31" s="1020"/>
      <c r="M31" s="1020"/>
      <c r="N31" s="1095" t="s">
        <v>201</v>
      </c>
      <c r="O31" s="1096"/>
    </row>
    <row r="32" spans="1:16" s="265" customFormat="1" ht="12.75" customHeight="1" thickBot="1">
      <c r="A32" s="1031" t="s">
        <v>202</v>
      </c>
      <c r="B32" s="1032"/>
      <c r="C32" s="1032"/>
      <c r="D32" s="281" t="s">
        <v>203</v>
      </c>
      <c r="E32" s="1031" t="s">
        <v>204</v>
      </c>
      <c r="F32" s="1033"/>
      <c r="G32" s="1033"/>
      <c r="H32" s="1033"/>
      <c r="I32" s="1097" t="s">
        <v>205</v>
      </c>
      <c r="J32" s="1098"/>
      <c r="K32" s="1031" t="s">
        <v>40</v>
      </c>
      <c r="L32" s="1033"/>
      <c r="M32" s="1033"/>
      <c r="N32" s="1099" t="s">
        <v>205</v>
      </c>
      <c r="O32" s="1100"/>
    </row>
    <row r="33" spans="1:16" s="265" customFormat="1" ht="12.75" customHeight="1">
      <c r="D33" s="277"/>
      <c r="E33" s="277"/>
      <c r="F33" s="283"/>
      <c r="H33" s="270"/>
    </row>
    <row r="34" spans="1:16" s="265" customFormat="1" ht="12.75" customHeight="1">
      <c r="C34" s="577"/>
      <c r="D34" s="277"/>
      <c r="E34" s="277"/>
      <c r="F34" s="283"/>
      <c r="G34" s="283"/>
      <c r="H34" s="283"/>
      <c r="I34" s="578"/>
      <c r="J34" s="578"/>
      <c r="K34" s="578"/>
      <c r="L34" s="447"/>
    </row>
    <row r="35" spans="1:16" s="265" customFormat="1" ht="12.75" customHeight="1">
      <c r="A35" s="1038"/>
      <c r="B35" s="1020"/>
      <c r="C35" s="1020"/>
      <c r="D35" s="1020"/>
      <c r="E35" s="277"/>
      <c r="F35" s="283"/>
      <c r="G35" s="283"/>
      <c r="H35" s="283"/>
      <c r="I35" s="578"/>
      <c r="J35" s="578"/>
      <c r="K35" s="578"/>
      <c r="L35" s="447"/>
    </row>
    <row r="36" spans="1:16" s="265" customFormat="1" ht="12.75" customHeight="1">
      <c r="A36" s="1029"/>
      <c r="B36" s="1020"/>
      <c r="C36" s="1020"/>
      <c r="E36" s="277"/>
      <c r="F36" s="283"/>
      <c r="G36" s="283"/>
      <c r="H36" s="283"/>
      <c r="I36" s="578"/>
      <c r="J36" s="578"/>
      <c r="K36" s="578"/>
      <c r="L36" s="447"/>
    </row>
    <row r="37" spans="1:16" s="265" customFormat="1" ht="12.75" customHeight="1" thickBot="1">
      <c r="A37" s="1029"/>
      <c r="B37" s="1020"/>
      <c r="C37" s="1020"/>
      <c r="E37" s="277"/>
      <c r="F37" s="283"/>
      <c r="G37" s="288"/>
      <c r="I37" s="288"/>
      <c r="J37" s="288"/>
      <c r="K37" s="288"/>
      <c r="L37" s="288"/>
    </row>
    <row r="38" spans="1:16" s="265" customFormat="1" ht="15.75" customHeight="1" thickBot="1">
      <c r="A38" s="1032"/>
      <c r="B38" s="1033"/>
      <c r="C38" s="1033"/>
      <c r="D38" s="576"/>
      <c r="F38" s="1063" t="s">
        <v>43</v>
      </c>
      <c r="G38" s="1101"/>
      <c r="H38" s="1022"/>
      <c r="I38" s="1023" t="s">
        <v>44</v>
      </c>
      <c r="J38" s="1003"/>
      <c r="K38" s="1003"/>
      <c r="L38" s="1003"/>
      <c r="M38" s="1003"/>
      <c r="N38" s="1003"/>
      <c r="O38" s="1025"/>
      <c r="P38" s="256"/>
    </row>
    <row r="39" spans="1:16" s="291" customFormat="1" ht="58.5" customHeight="1" thickBot="1">
      <c r="A39" s="289" t="s">
        <v>45</v>
      </c>
      <c r="B39" s="289" t="s">
        <v>46</v>
      </c>
      <c r="C39" s="579" t="s">
        <v>47</v>
      </c>
      <c r="D39" s="290" t="s">
        <v>48</v>
      </c>
      <c r="E39" s="290" t="s">
        <v>49</v>
      </c>
      <c r="F39" s="290" t="s">
        <v>50</v>
      </c>
      <c r="G39" s="289" t="s">
        <v>51</v>
      </c>
      <c r="H39" s="290" t="s">
        <v>52</v>
      </c>
      <c r="I39" s="289" t="s">
        <v>51</v>
      </c>
      <c r="J39" s="290" t="s">
        <v>53</v>
      </c>
      <c r="K39" s="289" t="s">
        <v>51</v>
      </c>
      <c r="L39" s="290" t="s">
        <v>54</v>
      </c>
      <c r="M39" s="289" t="s">
        <v>51</v>
      </c>
      <c r="N39" s="290" t="s">
        <v>55</v>
      </c>
      <c r="O39" s="289" t="s">
        <v>51</v>
      </c>
    </row>
    <row r="40" spans="1:16" s="557" customFormat="1" ht="29.25" customHeight="1" thickBot="1">
      <c r="A40" s="1089">
        <v>10</v>
      </c>
      <c r="B40" s="1089"/>
      <c r="C40" s="580" t="s">
        <v>238</v>
      </c>
      <c r="D40" s="581" t="s">
        <v>239</v>
      </c>
      <c r="E40" s="582">
        <v>12351.15</v>
      </c>
      <c r="F40" s="30">
        <f>SUM(E40:E42)*(1-72%)</f>
        <v>3558.2820000000002</v>
      </c>
      <c r="G40" s="1011">
        <f>F40*B40</f>
        <v>0</v>
      </c>
      <c r="H40" s="30">
        <f>F40*0.0845</f>
        <v>300.67482900000005</v>
      </c>
      <c r="I40" s="1011">
        <f>H40*B40</f>
        <v>0</v>
      </c>
      <c r="J40" s="30">
        <f>F40*0.032</f>
        <v>113.86502400000001</v>
      </c>
      <c r="K40" s="1011">
        <f>J40*B40</f>
        <v>0</v>
      </c>
      <c r="L40" s="30">
        <f>F40*0.0263</f>
        <v>93.582816600000001</v>
      </c>
      <c r="M40" s="1011">
        <f>L40*B40</f>
        <v>0</v>
      </c>
      <c r="N40" s="30">
        <f>F40*0.0219</f>
        <v>77.926375800000002</v>
      </c>
      <c r="O40" s="1011">
        <f>N40*B40</f>
        <v>0</v>
      </c>
      <c r="P40" s="561"/>
    </row>
    <row r="41" spans="1:16" s="519" customFormat="1" ht="13.5" thickBot="1">
      <c r="A41" s="1090"/>
      <c r="B41" s="1090"/>
      <c r="C41" s="544">
        <v>135700</v>
      </c>
      <c r="D41" s="575" t="s">
        <v>240</v>
      </c>
      <c r="E41" s="491">
        <v>282</v>
      </c>
      <c r="F41" s="300" t="s">
        <v>35</v>
      </c>
      <c r="G41" s="1084"/>
      <c r="H41" s="32" t="s">
        <v>35</v>
      </c>
      <c r="I41" s="1084"/>
      <c r="J41" s="32" t="s">
        <v>35</v>
      </c>
      <c r="K41" s="1084"/>
      <c r="L41" s="32" t="s">
        <v>35</v>
      </c>
      <c r="M41" s="1084"/>
      <c r="N41" s="32" t="s">
        <v>35</v>
      </c>
      <c r="O41" s="1084"/>
    </row>
    <row r="42" spans="1:16" s="519" customFormat="1" ht="13.5" thickBot="1">
      <c r="A42" s="1090"/>
      <c r="B42" s="1090"/>
      <c r="C42" s="544" t="s">
        <v>56</v>
      </c>
      <c r="D42" s="575" t="s">
        <v>57</v>
      </c>
      <c r="E42" s="491">
        <v>75</v>
      </c>
      <c r="F42" s="300" t="s">
        <v>35</v>
      </c>
      <c r="G42" s="1092"/>
      <c r="H42" s="301" t="s">
        <v>35</v>
      </c>
      <c r="I42" s="1092"/>
      <c r="J42" s="301" t="s">
        <v>35</v>
      </c>
      <c r="K42" s="1092"/>
      <c r="L42" s="301" t="s">
        <v>35</v>
      </c>
      <c r="M42" s="1092"/>
      <c r="N42" s="301" t="s">
        <v>35</v>
      </c>
      <c r="O42" s="1092"/>
    </row>
    <row r="43" spans="1:16" s="519" customFormat="1" ht="13.5" thickBot="1">
      <c r="A43" s="563"/>
      <c r="B43" s="308"/>
      <c r="C43" s="545"/>
      <c r="D43" s="537"/>
      <c r="E43" s="564"/>
      <c r="F43" s="33"/>
      <c r="G43" s="34"/>
      <c r="H43" s="36"/>
      <c r="I43" s="34"/>
      <c r="J43" s="36"/>
      <c r="K43" s="35"/>
      <c r="L43" s="36"/>
      <c r="M43" s="34"/>
      <c r="N43" s="36"/>
      <c r="O43" s="35"/>
    </row>
    <row r="44" spans="1:16" s="557" customFormat="1" ht="29.25" customHeight="1" thickBot="1">
      <c r="A44" s="1089" t="s">
        <v>211</v>
      </c>
      <c r="B44" s="1089"/>
      <c r="C44" s="580" t="s">
        <v>238</v>
      </c>
      <c r="D44" s="581" t="s">
        <v>239</v>
      </c>
      <c r="E44" s="582">
        <v>12351.15</v>
      </c>
      <c r="F44" s="30">
        <f>SUM(E44:E46)*(1-72%)</f>
        <v>3558.2820000000002</v>
      </c>
      <c r="G44" s="1011">
        <f>F44*B44</f>
        <v>0</v>
      </c>
      <c r="H44" s="30">
        <f>F44*0.0845+I30/12</f>
        <v>336.34149566666673</v>
      </c>
      <c r="I44" s="1011">
        <f>H44*B44</f>
        <v>0</v>
      </c>
      <c r="J44" s="30">
        <f>F44*0.032+I30/12</f>
        <v>149.53169066666666</v>
      </c>
      <c r="K44" s="1011">
        <f>J44*B44</f>
        <v>0</v>
      </c>
      <c r="L44" s="30">
        <f>F44*0.0263+I30/12</f>
        <v>129.24948326666666</v>
      </c>
      <c r="M44" s="1011">
        <f>L44*B44</f>
        <v>0</v>
      </c>
      <c r="N44" s="30">
        <f>F44*0.0219+I30/12</f>
        <v>113.59304246666667</v>
      </c>
      <c r="O44" s="1011">
        <f>N44*B44</f>
        <v>0</v>
      </c>
      <c r="P44" s="561"/>
    </row>
    <row r="45" spans="1:16" s="519" customFormat="1" ht="13.5" thickBot="1">
      <c r="A45" s="1090"/>
      <c r="B45" s="1090"/>
      <c r="C45" s="544">
        <v>135700</v>
      </c>
      <c r="D45" s="575" t="s">
        <v>240</v>
      </c>
      <c r="E45" s="491">
        <v>282</v>
      </c>
      <c r="F45" s="31" t="s">
        <v>35</v>
      </c>
      <c r="G45" s="1084"/>
      <c r="H45" s="32" t="s">
        <v>35</v>
      </c>
      <c r="I45" s="1084"/>
      <c r="J45" s="32" t="s">
        <v>35</v>
      </c>
      <c r="K45" s="1084"/>
      <c r="L45" s="32" t="s">
        <v>35</v>
      </c>
      <c r="M45" s="1084"/>
      <c r="N45" s="32" t="s">
        <v>35</v>
      </c>
      <c r="O45" s="1084"/>
    </row>
    <row r="46" spans="1:16" s="519" customFormat="1" ht="13.5" thickBot="1">
      <c r="A46" s="1090"/>
      <c r="B46" s="1090"/>
      <c r="C46" s="544" t="s">
        <v>56</v>
      </c>
      <c r="D46" s="575" t="s">
        <v>57</v>
      </c>
      <c r="E46" s="491">
        <v>75</v>
      </c>
      <c r="F46" s="31" t="s">
        <v>35</v>
      </c>
      <c r="G46" s="1092"/>
      <c r="H46" s="32" t="s">
        <v>35</v>
      </c>
      <c r="I46" s="1092"/>
      <c r="J46" s="32" t="s">
        <v>35</v>
      </c>
      <c r="K46" s="1092"/>
      <c r="L46" s="32" t="s">
        <v>35</v>
      </c>
      <c r="M46" s="1092"/>
      <c r="N46" s="32" t="s">
        <v>35</v>
      </c>
      <c r="O46" s="1092"/>
    </row>
    <row r="47" spans="1:16" s="519" customFormat="1" ht="13.5" thickBot="1">
      <c r="A47" s="563"/>
      <c r="B47" s="308"/>
      <c r="C47" s="545"/>
      <c r="D47" s="537"/>
      <c r="E47" s="564"/>
      <c r="F47" s="33"/>
      <c r="G47" s="34"/>
      <c r="H47" s="36"/>
      <c r="I47" s="34"/>
      <c r="J47" s="36"/>
      <c r="K47" s="35"/>
      <c r="L47" s="36"/>
      <c r="M47" s="34"/>
      <c r="N47" s="36"/>
      <c r="O47" s="35"/>
    </row>
    <row r="48" spans="1:16" s="557" customFormat="1" ht="29.25" customHeight="1" thickBot="1">
      <c r="A48" s="1089" t="s">
        <v>212</v>
      </c>
      <c r="B48" s="1089"/>
      <c r="C48" s="580" t="s">
        <v>238</v>
      </c>
      <c r="D48" s="581" t="s">
        <v>239</v>
      </c>
      <c r="E48" s="582">
        <v>12351.15</v>
      </c>
      <c r="F48" s="30">
        <f>SUM(E48:E50)*(1-72%)</f>
        <v>3558.2820000000002</v>
      </c>
      <c r="G48" s="1011">
        <f>F48*B48</f>
        <v>0</v>
      </c>
      <c r="H48" s="30">
        <f>F48*0.0845+N30/12</f>
        <v>354.17482900000005</v>
      </c>
      <c r="I48" s="1011">
        <f>H48*B48</f>
        <v>0</v>
      </c>
      <c r="J48" s="30">
        <f>F48*0.032+N30/12</f>
        <v>167.36502400000001</v>
      </c>
      <c r="K48" s="1011">
        <f>J48*B48</f>
        <v>0</v>
      </c>
      <c r="L48" s="30">
        <f>F48*0.0263+N30/12</f>
        <v>147.0828166</v>
      </c>
      <c r="M48" s="1011">
        <f>L48*B48</f>
        <v>0</v>
      </c>
      <c r="N48" s="30">
        <f>F48*0.0219+N30/12</f>
        <v>131.42637580000002</v>
      </c>
      <c r="O48" s="1011">
        <f>N48*B48</f>
        <v>0</v>
      </c>
      <c r="P48" s="561"/>
    </row>
    <row r="49" spans="1:16" s="519" customFormat="1" ht="13.5" thickBot="1">
      <c r="A49" s="1090"/>
      <c r="B49" s="1090"/>
      <c r="C49" s="544">
        <v>135700</v>
      </c>
      <c r="D49" s="575" t="s">
        <v>240</v>
      </c>
      <c r="E49" s="491">
        <v>282</v>
      </c>
      <c r="F49" s="31" t="s">
        <v>35</v>
      </c>
      <c r="G49" s="1084"/>
      <c r="H49" s="32" t="s">
        <v>35</v>
      </c>
      <c r="I49" s="1084"/>
      <c r="J49" s="32" t="s">
        <v>35</v>
      </c>
      <c r="K49" s="1084"/>
      <c r="L49" s="32" t="s">
        <v>35</v>
      </c>
      <c r="M49" s="1084"/>
      <c r="N49" s="32" t="s">
        <v>35</v>
      </c>
      <c r="O49" s="1084"/>
    </row>
    <row r="50" spans="1:16" s="519" customFormat="1" ht="13.5" thickBot="1">
      <c r="A50" s="1091"/>
      <c r="B50" s="1091"/>
      <c r="C50" s="544" t="s">
        <v>56</v>
      </c>
      <c r="D50" s="575" t="s">
        <v>57</v>
      </c>
      <c r="E50" s="491">
        <v>75</v>
      </c>
      <c r="F50" s="300" t="s">
        <v>35</v>
      </c>
      <c r="G50" s="1084"/>
      <c r="H50" s="448" t="s">
        <v>35</v>
      </c>
      <c r="I50" s="1084"/>
      <c r="J50" s="448" t="s">
        <v>35</v>
      </c>
      <c r="K50" s="1084"/>
      <c r="L50" s="448" t="s">
        <v>35</v>
      </c>
      <c r="M50" s="1084"/>
      <c r="N50" s="448" t="s">
        <v>35</v>
      </c>
      <c r="O50" s="1084"/>
    </row>
    <row r="51" spans="1:16" s="519" customFormat="1" ht="13.5" customHeight="1" thickBot="1">
      <c r="A51" s="1002" t="s">
        <v>59</v>
      </c>
      <c r="B51" s="1003"/>
      <c r="C51" s="1003"/>
      <c r="D51" s="1003"/>
      <c r="E51" s="1003"/>
      <c r="F51" s="1003"/>
      <c r="G51" s="1003"/>
      <c r="H51" s="1003"/>
      <c r="I51" s="1003"/>
      <c r="J51" s="1003"/>
      <c r="K51" s="1003"/>
      <c r="L51" s="1003"/>
      <c r="M51" s="1003"/>
      <c r="N51" s="1003"/>
      <c r="O51" s="1025"/>
    </row>
    <row r="52" spans="1:16" s="291" customFormat="1" ht="15.75" customHeight="1" thickBot="1">
      <c r="A52" s="1085"/>
      <c r="B52" s="583"/>
      <c r="C52" s="297" t="s">
        <v>103</v>
      </c>
      <c r="D52" s="298" t="s">
        <v>104</v>
      </c>
      <c r="E52" s="326">
        <v>129.99</v>
      </c>
      <c r="F52" s="38">
        <f t="shared" ref="F52:F96" si="0">E52*(1-40%)</f>
        <v>77.994</v>
      </c>
      <c r="G52" s="397">
        <f t="shared" ref="G52:G96" si="1">F52*B52</f>
        <v>0</v>
      </c>
      <c r="H52" s="397">
        <f t="shared" ref="H52:H96" si="2">F52*0.0845</f>
        <v>6.5904930000000004</v>
      </c>
      <c r="I52" s="397">
        <f t="shared" ref="I52:I96" si="3">H52*B52</f>
        <v>0</v>
      </c>
      <c r="J52" s="397">
        <f t="shared" ref="J52:J96" si="4">F52*0.032</f>
        <v>2.4958080000000002</v>
      </c>
      <c r="K52" s="397">
        <f t="shared" ref="K52:K96" si="5">J52*B52</f>
        <v>0</v>
      </c>
      <c r="L52" s="397">
        <f t="shared" ref="L52:L96" si="6">F52*0.0263</f>
        <v>2.0512421999999999</v>
      </c>
      <c r="M52" s="397">
        <f t="shared" ref="M52:M96" si="7">L52*B52</f>
        <v>0</v>
      </c>
      <c r="N52" s="397">
        <f t="shared" ref="N52:N96" si="8">F52*0.0219</f>
        <v>1.7080686</v>
      </c>
      <c r="O52" s="397">
        <f t="shared" ref="O52:O96" si="9">N52*B52</f>
        <v>0</v>
      </c>
      <c r="P52" s="584"/>
    </row>
    <row r="53" spans="1:16" s="291" customFormat="1" ht="13.5" thickBot="1">
      <c r="A53" s="1086"/>
      <c r="B53" s="583"/>
      <c r="C53" s="297" t="s">
        <v>105</v>
      </c>
      <c r="D53" s="298" t="s">
        <v>325</v>
      </c>
      <c r="E53" s="326">
        <v>399</v>
      </c>
      <c r="F53" s="38">
        <f t="shared" si="0"/>
        <v>239.39999999999998</v>
      </c>
      <c r="G53" s="396">
        <f t="shared" si="1"/>
        <v>0</v>
      </c>
      <c r="H53" s="397">
        <f t="shared" si="2"/>
        <v>20.229299999999999</v>
      </c>
      <c r="I53" s="397">
        <f t="shared" si="3"/>
        <v>0</v>
      </c>
      <c r="J53" s="397">
        <f t="shared" si="4"/>
        <v>7.6607999999999992</v>
      </c>
      <c r="K53" s="397">
        <f t="shared" si="5"/>
        <v>0</v>
      </c>
      <c r="L53" s="397">
        <f t="shared" si="6"/>
        <v>6.2962199999999999</v>
      </c>
      <c r="M53" s="397">
        <f t="shared" si="7"/>
        <v>0</v>
      </c>
      <c r="N53" s="397">
        <f t="shared" si="8"/>
        <v>5.2428599999999994</v>
      </c>
      <c r="O53" s="397">
        <f t="shared" si="9"/>
        <v>0</v>
      </c>
      <c r="P53" s="584"/>
    </row>
    <row r="54" spans="1:16" s="291" customFormat="1" ht="13.5" thickBot="1">
      <c r="A54" s="1086"/>
      <c r="B54" s="585"/>
      <c r="C54" s="586" t="s">
        <v>107</v>
      </c>
      <c r="D54" s="587" t="s">
        <v>108</v>
      </c>
      <c r="E54" s="451">
        <v>250</v>
      </c>
      <c r="F54" s="38">
        <f t="shared" si="0"/>
        <v>150</v>
      </c>
      <c r="G54" s="396">
        <f t="shared" si="1"/>
        <v>0</v>
      </c>
      <c r="H54" s="397">
        <f t="shared" si="2"/>
        <v>12.675000000000001</v>
      </c>
      <c r="I54" s="397">
        <f t="shared" si="3"/>
        <v>0</v>
      </c>
      <c r="J54" s="397">
        <f t="shared" si="4"/>
        <v>4.8</v>
      </c>
      <c r="K54" s="397">
        <f t="shared" si="5"/>
        <v>0</v>
      </c>
      <c r="L54" s="397">
        <f t="shared" si="6"/>
        <v>3.9450000000000003</v>
      </c>
      <c r="M54" s="397">
        <f t="shared" si="7"/>
        <v>0</v>
      </c>
      <c r="N54" s="397">
        <f t="shared" si="8"/>
        <v>3.2849999999999997</v>
      </c>
      <c r="O54" s="397">
        <f t="shared" si="9"/>
        <v>0</v>
      </c>
      <c r="P54" s="584"/>
    </row>
    <row r="55" spans="1:16" s="291" customFormat="1" ht="13.5" thickBot="1">
      <c r="A55" s="1086"/>
      <c r="B55" s="319"/>
      <c r="C55" s="297" t="s">
        <v>109</v>
      </c>
      <c r="D55" s="298" t="s">
        <v>110</v>
      </c>
      <c r="E55" s="326">
        <v>400</v>
      </c>
      <c r="F55" s="38">
        <f t="shared" si="0"/>
        <v>240</v>
      </c>
      <c r="G55" s="396">
        <f t="shared" si="1"/>
        <v>0</v>
      </c>
      <c r="H55" s="397">
        <f t="shared" si="2"/>
        <v>20.28</v>
      </c>
      <c r="I55" s="397">
        <f t="shared" si="3"/>
        <v>0</v>
      </c>
      <c r="J55" s="397">
        <f t="shared" si="4"/>
        <v>7.68</v>
      </c>
      <c r="K55" s="397">
        <f t="shared" si="5"/>
        <v>0</v>
      </c>
      <c r="L55" s="397">
        <f t="shared" si="6"/>
        <v>6.3120000000000003</v>
      </c>
      <c r="M55" s="397">
        <f t="shared" si="7"/>
        <v>0</v>
      </c>
      <c r="N55" s="397">
        <f t="shared" si="8"/>
        <v>5.2560000000000002</v>
      </c>
      <c r="O55" s="397">
        <f t="shared" si="9"/>
        <v>0</v>
      </c>
      <c r="P55" s="584"/>
    </row>
    <row r="56" spans="1:16" s="291" customFormat="1" ht="13.5" thickBot="1">
      <c r="A56" s="1086"/>
      <c r="B56" s="319"/>
      <c r="C56" s="297" t="s">
        <v>111</v>
      </c>
      <c r="D56" s="298" t="s">
        <v>112</v>
      </c>
      <c r="E56" s="326">
        <v>499</v>
      </c>
      <c r="F56" s="38">
        <f t="shared" si="0"/>
        <v>299.39999999999998</v>
      </c>
      <c r="G56" s="396">
        <f t="shared" si="1"/>
        <v>0</v>
      </c>
      <c r="H56" s="397">
        <f t="shared" si="2"/>
        <v>25.299299999999999</v>
      </c>
      <c r="I56" s="397">
        <f t="shared" si="3"/>
        <v>0</v>
      </c>
      <c r="J56" s="397">
        <f t="shared" si="4"/>
        <v>9.5808</v>
      </c>
      <c r="K56" s="397">
        <f t="shared" si="5"/>
        <v>0</v>
      </c>
      <c r="L56" s="397">
        <f t="shared" si="6"/>
        <v>7.8742199999999993</v>
      </c>
      <c r="M56" s="397">
        <f t="shared" si="7"/>
        <v>0</v>
      </c>
      <c r="N56" s="397">
        <f t="shared" si="8"/>
        <v>6.5568599999999995</v>
      </c>
      <c r="O56" s="397">
        <f t="shared" si="9"/>
        <v>0</v>
      </c>
      <c r="P56" s="584"/>
    </row>
    <row r="57" spans="1:16" s="291" customFormat="1" ht="13.5" thickBot="1">
      <c r="A57" s="1086"/>
      <c r="B57" s="319"/>
      <c r="C57" s="297" t="s">
        <v>77</v>
      </c>
      <c r="D57" s="298" t="s">
        <v>169</v>
      </c>
      <c r="E57" s="326">
        <v>329</v>
      </c>
      <c r="F57" s="38">
        <f t="shared" si="0"/>
        <v>197.4</v>
      </c>
      <c r="G57" s="396">
        <f t="shared" si="1"/>
        <v>0</v>
      </c>
      <c r="H57" s="397">
        <f t="shared" si="2"/>
        <v>16.680300000000003</v>
      </c>
      <c r="I57" s="397">
        <f t="shared" si="3"/>
        <v>0</v>
      </c>
      <c r="J57" s="397">
        <f t="shared" si="4"/>
        <v>6.3168000000000006</v>
      </c>
      <c r="K57" s="397">
        <f t="shared" si="5"/>
        <v>0</v>
      </c>
      <c r="L57" s="397">
        <f t="shared" si="6"/>
        <v>5.1916200000000003</v>
      </c>
      <c r="M57" s="397">
        <f t="shared" si="7"/>
        <v>0</v>
      </c>
      <c r="N57" s="397">
        <f t="shared" si="8"/>
        <v>4.3230599999999999</v>
      </c>
      <c r="O57" s="397">
        <f t="shared" si="9"/>
        <v>0</v>
      </c>
      <c r="P57" s="584"/>
    </row>
    <row r="58" spans="1:16" s="291" customFormat="1" ht="13.5" thickBot="1">
      <c r="A58" s="1086"/>
      <c r="B58" s="583"/>
      <c r="C58" s="297" t="s">
        <v>241</v>
      </c>
      <c r="D58" s="298" t="s">
        <v>3853</v>
      </c>
      <c r="E58" s="326">
        <v>235.4</v>
      </c>
      <c r="F58" s="38">
        <f t="shared" si="0"/>
        <v>141.24</v>
      </c>
      <c r="G58" s="396">
        <f t="shared" si="1"/>
        <v>0</v>
      </c>
      <c r="H58" s="397">
        <f t="shared" si="2"/>
        <v>11.934780000000002</v>
      </c>
      <c r="I58" s="397">
        <f t="shared" si="3"/>
        <v>0</v>
      </c>
      <c r="J58" s="397">
        <f t="shared" si="4"/>
        <v>4.5196800000000001</v>
      </c>
      <c r="K58" s="397">
        <f t="shared" si="5"/>
        <v>0</v>
      </c>
      <c r="L58" s="397">
        <f t="shared" si="6"/>
        <v>3.7146120000000002</v>
      </c>
      <c r="M58" s="397">
        <f t="shared" si="7"/>
        <v>0</v>
      </c>
      <c r="N58" s="397">
        <f t="shared" si="8"/>
        <v>3.093156</v>
      </c>
      <c r="O58" s="397">
        <f t="shared" si="9"/>
        <v>0</v>
      </c>
      <c r="P58" s="584"/>
    </row>
    <row r="59" spans="1:16" s="291" customFormat="1" ht="13.5" thickBot="1">
      <c r="A59" s="1086"/>
      <c r="B59" s="583"/>
      <c r="C59" s="297" t="s">
        <v>242</v>
      </c>
      <c r="D59" s="298" t="s">
        <v>3854</v>
      </c>
      <c r="E59" s="326">
        <v>328.49</v>
      </c>
      <c r="F59" s="38">
        <f t="shared" si="0"/>
        <v>197.09399999999999</v>
      </c>
      <c r="G59" s="396">
        <f t="shared" si="1"/>
        <v>0</v>
      </c>
      <c r="H59" s="397">
        <f t="shared" si="2"/>
        <v>16.654443000000001</v>
      </c>
      <c r="I59" s="397">
        <f t="shared" si="3"/>
        <v>0</v>
      </c>
      <c r="J59" s="397">
        <f t="shared" si="4"/>
        <v>6.3070079999999997</v>
      </c>
      <c r="K59" s="397">
        <f t="shared" si="5"/>
        <v>0</v>
      </c>
      <c r="L59" s="397">
        <f t="shared" si="6"/>
        <v>5.1835721999999995</v>
      </c>
      <c r="M59" s="397">
        <f t="shared" si="7"/>
        <v>0</v>
      </c>
      <c r="N59" s="397">
        <f t="shared" si="8"/>
        <v>4.3163586</v>
      </c>
      <c r="O59" s="397">
        <f t="shared" si="9"/>
        <v>0</v>
      </c>
      <c r="P59" s="584"/>
    </row>
    <row r="60" spans="1:16" s="291" customFormat="1" ht="13.5" thickBot="1">
      <c r="A60" s="1086"/>
      <c r="B60" s="585"/>
      <c r="C60" s="586" t="s">
        <v>117</v>
      </c>
      <c r="D60" s="587" t="s">
        <v>118</v>
      </c>
      <c r="E60" s="451">
        <v>999.38</v>
      </c>
      <c r="F60" s="38">
        <f t="shared" si="0"/>
        <v>599.62799999999993</v>
      </c>
      <c r="G60" s="396">
        <f t="shared" si="1"/>
        <v>0</v>
      </c>
      <c r="H60" s="397">
        <f t="shared" si="2"/>
        <v>50.668565999999998</v>
      </c>
      <c r="I60" s="397">
        <f t="shared" si="3"/>
        <v>0</v>
      </c>
      <c r="J60" s="397">
        <f t="shared" si="4"/>
        <v>19.188095999999998</v>
      </c>
      <c r="K60" s="397">
        <f t="shared" si="5"/>
        <v>0</v>
      </c>
      <c r="L60" s="397">
        <f t="shared" si="6"/>
        <v>15.770216399999999</v>
      </c>
      <c r="M60" s="397">
        <f t="shared" si="7"/>
        <v>0</v>
      </c>
      <c r="N60" s="397">
        <f t="shared" si="8"/>
        <v>13.131853199999998</v>
      </c>
      <c r="O60" s="397">
        <f t="shared" si="9"/>
        <v>0</v>
      </c>
      <c r="P60" s="584"/>
    </row>
    <row r="61" spans="1:16" s="291" customFormat="1" ht="13.5" thickBot="1">
      <c r="A61" s="1086"/>
      <c r="B61" s="583"/>
      <c r="C61" s="297" t="s">
        <v>119</v>
      </c>
      <c r="D61" s="298" t="s">
        <v>120</v>
      </c>
      <c r="E61" s="326">
        <v>222.6</v>
      </c>
      <c r="F61" s="38">
        <f t="shared" si="0"/>
        <v>133.56</v>
      </c>
      <c r="G61" s="396">
        <f t="shared" si="1"/>
        <v>0</v>
      </c>
      <c r="H61" s="397">
        <f t="shared" si="2"/>
        <v>11.285820000000001</v>
      </c>
      <c r="I61" s="397">
        <f t="shared" si="3"/>
        <v>0</v>
      </c>
      <c r="J61" s="397">
        <f t="shared" si="4"/>
        <v>4.2739200000000004</v>
      </c>
      <c r="K61" s="397">
        <f t="shared" si="5"/>
        <v>0</v>
      </c>
      <c r="L61" s="397">
        <f t="shared" si="6"/>
        <v>3.5126280000000003</v>
      </c>
      <c r="M61" s="397">
        <f t="shared" si="7"/>
        <v>0</v>
      </c>
      <c r="N61" s="397">
        <f t="shared" si="8"/>
        <v>2.9249640000000001</v>
      </c>
      <c r="O61" s="397">
        <f t="shared" si="9"/>
        <v>0</v>
      </c>
      <c r="P61" s="584"/>
    </row>
    <row r="62" spans="1:16" s="291" customFormat="1" ht="26.25" thickBot="1">
      <c r="A62" s="1086"/>
      <c r="B62" s="583"/>
      <c r="C62" s="297" t="s">
        <v>244</v>
      </c>
      <c r="D62" s="298" t="s">
        <v>3855</v>
      </c>
      <c r="E62" s="326">
        <v>1259.3900000000001</v>
      </c>
      <c r="F62" s="38">
        <f t="shared" si="0"/>
        <v>755.63400000000001</v>
      </c>
      <c r="G62" s="396">
        <f t="shared" si="1"/>
        <v>0</v>
      </c>
      <c r="H62" s="397">
        <f t="shared" si="2"/>
        <v>63.851073000000007</v>
      </c>
      <c r="I62" s="397">
        <f t="shared" si="3"/>
        <v>0</v>
      </c>
      <c r="J62" s="397">
        <f t="shared" si="4"/>
        <v>24.180288000000001</v>
      </c>
      <c r="K62" s="397">
        <f t="shared" si="5"/>
        <v>0</v>
      </c>
      <c r="L62" s="397">
        <f t="shared" si="6"/>
        <v>19.873174200000001</v>
      </c>
      <c r="M62" s="397">
        <f t="shared" si="7"/>
        <v>0</v>
      </c>
      <c r="N62" s="397">
        <f t="shared" si="8"/>
        <v>16.548384599999999</v>
      </c>
      <c r="O62" s="397">
        <f t="shared" si="9"/>
        <v>0</v>
      </c>
      <c r="P62" s="584"/>
    </row>
    <row r="63" spans="1:16" s="291" customFormat="1" ht="27" customHeight="1" thickBot="1">
      <c r="A63" s="1086"/>
      <c r="B63" s="583"/>
      <c r="C63" s="297" t="s">
        <v>3856</v>
      </c>
      <c r="D63" s="298" t="s">
        <v>3857</v>
      </c>
      <c r="E63" s="326">
        <v>1399.56</v>
      </c>
      <c r="F63" s="38">
        <f t="shared" si="0"/>
        <v>839.73599999999999</v>
      </c>
      <c r="G63" s="396">
        <f t="shared" si="1"/>
        <v>0</v>
      </c>
      <c r="H63" s="397">
        <f t="shared" si="2"/>
        <v>70.957692000000009</v>
      </c>
      <c r="I63" s="397">
        <f t="shared" si="3"/>
        <v>0</v>
      </c>
      <c r="J63" s="397">
        <f t="shared" si="4"/>
        <v>26.871552000000001</v>
      </c>
      <c r="K63" s="397">
        <f t="shared" si="5"/>
        <v>0</v>
      </c>
      <c r="L63" s="397">
        <f t="shared" si="6"/>
        <v>22.0850568</v>
      </c>
      <c r="M63" s="397">
        <f t="shared" si="7"/>
        <v>0</v>
      </c>
      <c r="N63" s="397">
        <f t="shared" si="8"/>
        <v>18.390218399999998</v>
      </c>
      <c r="O63" s="397">
        <f t="shared" si="9"/>
        <v>0</v>
      </c>
      <c r="P63" s="584"/>
    </row>
    <row r="64" spans="1:16" s="291" customFormat="1" ht="26.25" thickBot="1">
      <c r="A64" s="1086"/>
      <c r="B64" s="583"/>
      <c r="C64" s="297" t="s">
        <v>3858</v>
      </c>
      <c r="D64" s="298" t="s">
        <v>245</v>
      </c>
      <c r="E64" s="326">
        <v>2172.17</v>
      </c>
      <c r="F64" s="38">
        <f t="shared" si="0"/>
        <v>1303.3019999999999</v>
      </c>
      <c r="G64" s="396">
        <f t="shared" si="1"/>
        <v>0</v>
      </c>
      <c r="H64" s="397">
        <f t="shared" si="2"/>
        <v>110.129019</v>
      </c>
      <c r="I64" s="397">
        <f t="shared" si="3"/>
        <v>0</v>
      </c>
      <c r="J64" s="397">
        <f t="shared" si="4"/>
        <v>41.705663999999999</v>
      </c>
      <c r="K64" s="397">
        <f t="shared" si="5"/>
        <v>0</v>
      </c>
      <c r="L64" s="397">
        <f t="shared" si="6"/>
        <v>34.276842599999995</v>
      </c>
      <c r="M64" s="397">
        <f t="shared" si="7"/>
        <v>0</v>
      </c>
      <c r="N64" s="397">
        <f t="shared" si="8"/>
        <v>28.542313799999999</v>
      </c>
      <c r="O64" s="397">
        <f t="shared" si="9"/>
        <v>0</v>
      </c>
      <c r="P64" s="584"/>
    </row>
    <row r="65" spans="1:16" s="291" customFormat="1" ht="26.25" thickBot="1">
      <c r="A65" s="1086"/>
      <c r="B65" s="583"/>
      <c r="C65" s="297" t="s">
        <v>3859</v>
      </c>
      <c r="D65" s="298" t="s">
        <v>3860</v>
      </c>
      <c r="E65" s="326">
        <v>3761.05</v>
      </c>
      <c r="F65" s="38">
        <f t="shared" si="0"/>
        <v>2256.63</v>
      </c>
      <c r="G65" s="396">
        <f t="shared" si="1"/>
        <v>0</v>
      </c>
      <c r="H65" s="397">
        <f t="shared" si="2"/>
        <v>190.68523500000003</v>
      </c>
      <c r="I65" s="397">
        <f t="shared" si="3"/>
        <v>0</v>
      </c>
      <c r="J65" s="397">
        <f t="shared" si="4"/>
        <v>72.212160000000011</v>
      </c>
      <c r="K65" s="397">
        <f t="shared" si="5"/>
        <v>0</v>
      </c>
      <c r="L65" s="397">
        <f t="shared" si="6"/>
        <v>59.349369000000003</v>
      </c>
      <c r="M65" s="397">
        <f t="shared" si="7"/>
        <v>0</v>
      </c>
      <c r="N65" s="397">
        <f t="shared" si="8"/>
        <v>49.420197000000002</v>
      </c>
      <c r="O65" s="397">
        <f t="shared" si="9"/>
        <v>0</v>
      </c>
      <c r="P65" s="584"/>
    </row>
    <row r="66" spans="1:16" s="291" customFormat="1" ht="13.5" thickBot="1">
      <c r="A66" s="1086"/>
      <c r="B66" s="583"/>
      <c r="C66" s="297" t="s">
        <v>3861</v>
      </c>
      <c r="D66" s="298" t="s">
        <v>3852</v>
      </c>
      <c r="E66" s="326">
        <v>1828.63</v>
      </c>
      <c r="F66" s="38">
        <f t="shared" si="0"/>
        <v>1097.1780000000001</v>
      </c>
      <c r="G66" s="396">
        <f t="shared" si="1"/>
        <v>0</v>
      </c>
      <c r="H66" s="397">
        <f t="shared" si="2"/>
        <v>92.711541000000011</v>
      </c>
      <c r="I66" s="397">
        <f t="shared" si="3"/>
        <v>0</v>
      </c>
      <c r="J66" s="397">
        <f t="shared" si="4"/>
        <v>35.109696000000007</v>
      </c>
      <c r="K66" s="397">
        <f t="shared" si="5"/>
        <v>0</v>
      </c>
      <c r="L66" s="397">
        <f t="shared" si="6"/>
        <v>28.855781400000005</v>
      </c>
      <c r="M66" s="397">
        <f t="shared" si="7"/>
        <v>0</v>
      </c>
      <c r="N66" s="397">
        <f t="shared" si="8"/>
        <v>24.028198200000002</v>
      </c>
      <c r="O66" s="397">
        <f t="shared" si="9"/>
        <v>0</v>
      </c>
      <c r="P66" s="584"/>
    </row>
    <row r="67" spans="1:16" s="291" customFormat="1" ht="13.5" thickBot="1">
      <c r="A67" s="1086"/>
      <c r="B67" s="583"/>
      <c r="C67" s="297" t="s">
        <v>123</v>
      </c>
      <c r="D67" s="298" t="s">
        <v>3910</v>
      </c>
      <c r="E67" s="326">
        <v>329.56</v>
      </c>
      <c r="F67" s="38">
        <f>E67*(1-40%)</f>
        <v>197.73599999999999</v>
      </c>
      <c r="G67" s="396">
        <f>F67*B67</f>
        <v>0</v>
      </c>
      <c r="H67" s="397">
        <f>F67*0.0845</f>
        <v>16.708691999999999</v>
      </c>
      <c r="I67" s="397">
        <f>H67*B67</f>
        <v>0</v>
      </c>
      <c r="J67" s="397">
        <f>F67*0.032</f>
        <v>6.3275519999999998</v>
      </c>
      <c r="K67" s="397">
        <f>J67*B67</f>
        <v>0</v>
      </c>
      <c r="L67" s="397">
        <f>F67*0.0263</f>
        <v>5.2004567999999995</v>
      </c>
      <c r="M67" s="397">
        <f>L67*B67</f>
        <v>0</v>
      </c>
      <c r="N67" s="397">
        <f>F67*0.0219</f>
        <v>4.3304183999999992</v>
      </c>
      <c r="O67" s="397">
        <f>N67*B67</f>
        <v>0</v>
      </c>
      <c r="P67" s="584"/>
    </row>
    <row r="68" spans="1:16" s="519" customFormat="1" ht="13.5" thickBot="1">
      <c r="A68" s="1086"/>
      <c r="B68" s="583"/>
      <c r="C68" s="297" t="s">
        <v>3862</v>
      </c>
      <c r="D68" s="298" t="s">
        <v>296</v>
      </c>
      <c r="E68" s="326">
        <v>4449.0600000000004</v>
      </c>
      <c r="F68" s="38">
        <f t="shared" si="0"/>
        <v>2669.4360000000001</v>
      </c>
      <c r="G68" s="396">
        <f t="shared" si="1"/>
        <v>0</v>
      </c>
      <c r="H68" s="397">
        <f t="shared" si="2"/>
        <v>225.56734200000002</v>
      </c>
      <c r="I68" s="397">
        <f t="shared" si="3"/>
        <v>0</v>
      </c>
      <c r="J68" s="397">
        <f t="shared" si="4"/>
        <v>85.421952000000005</v>
      </c>
      <c r="K68" s="397">
        <f t="shared" si="5"/>
        <v>0</v>
      </c>
      <c r="L68" s="397">
        <f t="shared" si="6"/>
        <v>70.206166800000005</v>
      </c>
      <c r="M68" s="397">
        <f t="shared" si="7"/>
        <v>0</v>
      </c>
      <c r="N68" s="397">
        <f t="shared" si="8"/>
        <v>58.460648400000004</v>
      </c>
      <c r="O68" s="397">
        <f t="shared" si="9"/>
        <v>0</v>
      </c>
      <c r="P68" s="584"/>
    </row>
    <row r="69" spans="1:16" s="519" customFormat="1" ht="13.5" thickBot="1">
      <c r="A69" s="1086"/>
      <c r="B69" s="583"/>
      <c r="C69" s="297" t="s">
        <v>3863</v>
      </c>
      <c r="D69" s="298" t="s">
        <v>3864</v>
      </c>
      <c r="E69" s="326">
        <v>352.03</v>
      </c>
      <c r="F69" s="38">
        <f t="shared" si="0"/>
        <v>211.21799999999999</v>
      </c>
      <c r="G69" s="396">
        <f t="shared" si="1"/>
        <v>0</v>
      </c>
      <c r="H69" s="397">
        <f t="shared" si="2"/>
        <v>17.847920999999999</v>
      </c>
      <c r="I69" s="397">
        <f t="shared" si="3"/>
        <v>0</v>
      </c>
      <c r="J69" s="397">
        <f t="shared" si="4"/>
        <v>6.7589759999999997</v>
      </c>
      <c r="K69" s="397">
        <f t="shared" si="5"/>
        <v>0</v>
      </c>
      <c r="L69" s="397">
        <f t="shared" si="6"/>
        <v>5.5550334000000001</v>
      </c>
      <c r="M69" s="397">
        <f t="shared" si="7"/>
        <v>0</v>
      </c>
      <c r="N69" s="397">
        <f t="shared" si="8"/>
        <v>4.6256741999999997</v>
      </c>
      <c r="O69" s="397">
        <f t="shared" si="9"/>
        <v>0</v>
      </c>
      <c r="P69" s="584"/>
    </row>
    <row r="70" spans="1:16" s="519" customFormat="1" ht="13.5" thickBot="1">
      <c r="A70" s="1086"/>
      <c r="B70" s="583"/>
      <c r="C70" s="297" t="s">
        <v>214</v>
      </c>
      <c r="D70" s="298" t="s">
        <v>246</v>
      </c>
      <c r="E70" s="326">
        <v>588.5</v>
      </c>
      <c r="F70" s="38">
        <f t="shared" si="0"/>
        <v>353.09999999999997</v>
      </c>
      <c r="G70" s="396">
        <f t="shared" si="1"/>
        <v>0</v>
      </c>
      <c r="H70" s="397">
        <f t="shared" si="2"/>
        <v>29.836949999999998</v>
      </c>
      <c r="I70" s="397">
        <f t="shared" si="3"/>
        <v>0</v>
      </c>
      <c r="J70" s="397">
        <f t="shared" si="4"/>
        <v>11.299199999999999</v>
      </c>
      <c r="K70" s="397">
        <f t="shared" si="5"/>
        <v>0</v>
      </c>
      <c r="L70" s="397">
        <f t="shared" si="6"/>
        <v>9.2865299999999991</v>
      </c>
      <c r="M70" s="397">
        <f t="shared" si="7"/>
        <v>0</v>
      </c>
      <c r="N70" s="397">
        <f t="shared" si="8"/>
        <v>7.7328899999999994</v>
      </c>
      <c r="O70" s="397">
        <f t="shared" si="9"/>
        <v>0</v>
      </c>
      <c r="P70" s="584"/>
    </row>
    <row r="71" spans="1:16" s="291" customFormat="1" ht="13.5" thickBot="1">
      <c r="A71" s="1086"/>
      <c r="B71" s="583"/>
      <c r="C71" s="297" t="s">
        <v>522</v>
      </c>
      <c r="D71" s="298" t="s">
        <v>432</v>
      </c>
      <c r="E71" s="326">
        <v>101.65</v>
      </c>
      <c r="F71" s="38">
        <f t="shared" ref="F71:F78" si="10">E71*(1-40%)</f>
        <v>60.99</v>
      </c>
      <c r="G71" s="396">
        <f t="shared" ref="G71:G78" si="11">F71*B71</f>
        <v>0</v>
      </c>
      <c r="H71" s="397">
        <f t="shared" ref="H71:H78" si="12">F71*0.0845</f>
        <v>5.1536550000000005</v>
      </c>
      <c r="I71" s="397">
        <f t="shared" ref="I71:I78" si="13">H71*B71</f>
        <v>0</v>
      </c>
      <c r="J71" s="397">
        <f t="shared" ref="J71:J78" si="14">F71*0.032</f>
        <v>1.9516800000000001</v>
      </c>
      <c r="K71" s="397">
        <f t="shared" ref="K71:K78" si="15">J71*B71</f>
        <v>0</v>
      </c>
      <c r="L71" s="397">
        <f t="shared" ref="L71:L78" si="16">F71*0.0263</f>
        <v>1.6040370000000002</v>
      </c>
      <c r="M71" s="397">
        <f t="shared" ref="M71:M78" si="17">L71*B71</f>
        <v>0</v>
      </c>
      <c r="N71" s="397">
        <f t="shared" ref="N71:N78" si="18">F71*0.0219</f>
        <v>1.3356809999999999</v>
      </c>
      <c r="O71" s="397">
        <f t="shared" ref="O71:O78" si="19">N71*B71</f>
        <v>0</v>
      </c>
      <c r="P71" s="584"/>
    </row>
    <row r="72" spans="1:16" s="291" customFormat="1" ht="27" customHeight="1" thickBot="1">
      <c r="A72" s="1086"/>
      <c r="B72" s="583"/>
      <c r="C72" s="297" t="s">
        <v>3865</v>
      </c>
      <c r="D72" s="298" t="s">
        <v>3866</v>
      </c>
      <c r="E72" s="326">
        <v>145.52000000000001</v>
      </c>
      <c r="F72" s="38">
        <f t="shared" si="10"/>
        <v>87.311999999999998</v>
      </c>
      <c r="G72" s="396">
        <f t="shared" si="11"/>
        <v>0</v>
      </c>
      <c r="H72" s="397">
        <f t="shared" si="12"/>
        <v>7.3778640000000006</v>
      </c>
      <c r="I72" s="397">
        <f t="shared" si="13"/>
        <v>0</v>
      </c>
      <c r="J72" s="397">
        <f t="shared" si="14"/>
        <v>2.793984</v>
      </c>
      <c r="K72" s="397">
        <f t="shared" si="15"/>
        <v>0</v>
      </c>
      <c r="L72" s="397">
        <f t="shared" si="16"/>
        <v>2.2963056000000002</v>
      </c>
      <c r="M72" s="397">
        <f t="shared" si="17"/>
        <v>0</v>
      </c>
      <c r="N72" s="397">
        <f t="shared" si="18"/>
        <v>1.9121328</v>
      </c>
      <c r="O72" s="397">
        <f t="shared" si="19"/>
        <v>0</v>
      </c>
      <c r="P72" s="584"/>
    </row>
    <row r="73" spans="1:16" s="291" customFormat="1" ht="13.5" thickBot="1">
      <c r="A73" s="1086"/>
      <c r="B73" s="583"/>
      <c r="C73" s="297" t="s">
        <v>127</v>
      </c>
      <c r="D73" s="298" t="s">
        <v>128</v>
      </c>
      <c r="E73" s="326">
        <v>148.72999999999999</v>
      </c>
      <c r="F73" s="38">
        <f t="shared" si="10"/>
        <v>89.237999999999985</v>
      </c>
      <c r="G73" s="396">
        <f t="shared" si="11"/>
        <v>0</v>
      </c>
      <c r="H73" s="397">
        <f t="shared" si="12"/>
        <v>7.5406109999999993</v>
      </c>
      <c r="I73" s="397">
        <f t="shared" si="13"/>
        <v>0</v>
      </c>
      <c r="J73" s="397">
        <f t="shared" si="14"/>
        <v>2.8556159999999995</v>
      </c>
      <c r="K73" s="397">
        <f t="shared" si="15"/>
        <v>0</v>
      </c>
      <c r="L73" s="397">
        <f t="shared" si="16"/>
        <v>2.3469593999999998</v>
      </c>
      <c r="M73" s="397">
        <f t="shared" si="17"/>
        <v>0</v>
      </c>
      <c r="N73" s="397">
        <f t="shared" si="18"/>
        <v>1.9543121999999997</v>
      </c>
      <c r="O73" s="397">
        <f t="shared" si="19"/>
        <v>0</v>
      </c>
      <c r="P73" s="584"/>
    </row>
    <row r="74" spans="1:16" s="291" customFormat="1" ht="13.5" thickBot="1">
      <c r="A74" s="1086"/>
      <c r="B74" s="583"/>
      <c r="C74" s="297" t="s">
        <v>129</v>
      </c>
      <c r="D74" s="298" t="s">
        <v>130</v>
      </c>
      <c r="E74" s="326">
        <v>785</v>
      </c>
      <c r="F74" s="38">
        <f t="shared" si="10"/>
        <v>471</v>
      </c>
      <c r="G74" s="396">
        <f t="shared" si="11"/>
        <v>0</v>
      </c>
      <c r="H74" s="397">
        <f t="shared" si="12"/>
        <v>39.799500000000002</v>
      </c>
      <c r="I74" s="397">
        <f t="shared" si="13"/>
        <v>0</v>
      </c>
      <c r="J74" s="397">
        <f t="shared" si="14"/>
        <v>15.072000000000001</v>
      </c>
      <c r="K74" s="397">
        <f t="shared" si="15"/>
        <v>0</v>
      </c>
      <c r="L74" s="397">
        <f t="shared" si="16"/>
        <v>12.3873</v>
      </c>
      <c r="M74" s="397">
        <f t="shared" si="17"/>
        <v>0</v>
      </c>
      <c r="N74" s="397">
        <f t="shared" si="18"/>
        <v>10.3149</v>
      </c>
      <c r="O74" s="397">
        <f t="shared" si="19"/>
        <v>0</v>
      </c>
      <c r="P74" s="584"/>
    </row>
    <row r="75" spans="1:16" s="291" customFormat="1" ht="13.5" thickBot="1">
      <c r="A75" s="1086"/>
      <c r="B75" s="583"/>
      <c r="C75" s="297" t="s">
        <v>131</v>
      </c>
      <c r="D75" s="298" t="s">
        <v>217</v>
      </c>
      <c r="E75" s="326">
        <v>821</v>
      </c>
      <c r="F75" s="38">
        <f t="shared" si="10"/>
        <v>492.59999999999997</v>
      </c>
      <c r="G75" s="396">
        <f t="shared" si="11"/>
        <v>0</v>
      </c>
      <c r="H75" s="397">
        <f t="shared" si="12"/>
        <v>41.624699999999997</v>
      </c>
      <c r="I75" s="397">
        <f t="shared" si="13"/>
        <v>0</v>
      </c>
      <c r="J75" s="397">
        <f t="shared" si="14"/>
        <v>15.763199999999999</v>
      </c>
      <c r="K75" s="397">
        <f t="shared" si="15"/>
        <v>0</v>
      </c>
      <c r="L75" s="397">
        <f t="shared" si="16"/>
        <v>12.95538</v>
      </c>
      <c r="M75" s="397">
        <f t="shared" si="17"/>
        <v>0</v>
      </c>
      <c r="N75" s="397">
        <f t="shared" si="18"/>
        <v>10.787939999999999</v>
      </c>
      <c r="O75" s="397">
        <f t="shared" si="19"/>
        <v>0</v>
      </c>
      <c r="P75" s="584"/>
    </row>
    <row r="76" spans="1:16" s="519" customFormat="1" ht="13.5" thickBot="1">
      <c r="A76" s="1086"/>
      <c r="B76" s="583"/>
      <c r="C76" s="297" t="s">
        <v>133</v>
      </c>
      <c r="D76" s="298" t="s">
        <v>134</v>
      </c>
      <c r="E76" s="326">
        <v>690</v>
      </c>
      <c r="F76" s="38">
        <f t="shared" si="10"/>
        <v>414</v>
      </c>
      <c r="G76" s="396">
        <f t="shared" si="11"/>
        <v>0</v>
      </c>
      <c r="H76" s="397">
        <f t="shared" si="12"/>
        <v>34.983000000000004</v>
      </c>
      <c r="I76" s="397">
        <f t="shared" si="13"/>
        <v>0</v>
      </c>
      <c r="J76" s="397">
        <f t="shared" si="14"/>
        <v>13.248000000000001</v>
      </c>
      <c r="K76" s="397">
        <f t="shared" si="15"/>
        <v>0</v>
      </c>
      <c r="L76" s="397">
        <f t="shared" si="16"/>
        <v>10.888199999999999</v>
      </c>
      <c r="M76" s="397">
        <f t="shared" si="17"/>
        <v>0</v>
      </c>
      <c r="N76" s="397">
        <f t="shared" si="18"/>
        <v>9.0665999999999993</v>
      </c>
      <c r="O76" s="397">
        <f t="shared" si="19"/>
        <v>0</v>
      </c>
      <c r="P76" s="584"/>
    </row>
    <row r="77" spans="1:16" s="519" customFormat="1" ht="13.5" thickBot="1">
      <c r="A77" s="1086"/>
      <c r="B77" s="583"/>
      <c r="C77" s="297" t="s">
        <v>135</v>
      </c>
      <c r="D77" s="298" t="s">
        <v>136</v>
      </c>
      <c r="E77" s="326">
        <v>191</v>
      </c>
      <c r="F77" s="38">
        <f t="shared" si="10"/>
        <v>114.6</v>
      </c>
      <c r="G77" s="396">
        <f t="shared" si="11"/>
        <v>0</v>
      </c>
      <c r="H77" s="397">
        <f t="shared" si="12"/>
        <v>9.6837</v>
      </c>
      <c r="I77" s="397">
        <f t="shared" si="13"/>
        <v>0</v>
      </c>
      <c r="J77" s="397">
        <f t="shared" si="14"/>
        <v>3.6671999999999998</v>
      </c>
      <c r="K77" s="397">
        <f t="shared" si="15"/>
        <v>0</v>
      </c>
      <c r="L77" s="397">
        <f t="shared" si="16"/>
        <v>3.0139800000000001</v>
      </c>
      <c r="M77" s="397">
        <f t="shared" si="17"/>
        <v>0</v>
      </c>
      <c r="N77" s="397">
        <f t="shared" si="18"/>
        <v>2.5097399999999999</v>
      </c>
      <c r="O77" s="397">
        <f t="shared" si="19"/>
        <v>0</v>
      </c>
      <c r="P77" s="584"/>
    </row>
    <row r="78" spans="1:16" s="519" customFormat="1" ht="26.25" thickBot="1">
      <c r="A78" s="1086"/>
      <c r="B78" s="583"/>
      <c r="C78" s="297" t="s">
        <v>137</v>
      </c>
      <c r="D78" s="298" t="s">
        <v>3867</v>
      </c>
      <c r="E78" s="326">
        <v>667.8</v>
      </c>
      <c r="F78" s="38">
        <f t="shared" si="10"/>
        <v>400.67999999999995</v>
      </c>
      <c r="G78" s="396">
        <f t="shared" si="11"/>
        <v>0</v>
      </c>
      <c r="H78" s="397">
        <f t="shared" si="12"/>
        <v>33.857459999999996</v>
      </c>
      <c r="I78" s="397">
        <f t="shared" si="13"/>
        <v>0</v>
      </c>
      <c r="J78" s="397">
        <f t="shared" si="14"/>
        <v>12.821759999999999</v>
      </c>
      <c r="K78" s="397">
        <f t="shared" si="15"/>
        <v>0</v>
      </c>
      <c r="L78" s="397">
        <f t="shared" si="16"/>
        <v>10.537883999999998</v>
      </c>
      <c r="M78" s="397">
        <f t="shared" si="17"/>
        <v>0</v>
      </c>
      <c r="N78" s="397">
        <f t="shared" si="18"/>
        <v>8.7748919999999995</v>
      </c>
      <c r="O78" s="397">
        <f t="shared" si="19"/>
        <v>0</v>
      </c>
      <c r="P78" s="584"/>
    </row>
    <row r="79" spans="1:16" s="519" customFormat="1" ht="26.25" thickBot="1">
      <c r="A79" s="1086"/>
      <c r="B79" s="585"/>
      <c r="C79" s="297" t="s">
        <v>249</v>
      </c>
      <c r="D79" s="298" t="s">
        <v>140</v>
      </c>
      <c r="E79" s="326">
        <v>250</v>
      </c>
      <c r="F79" s="38">
        <f t="shared" si="0"/>
        <v>150</v>
      </c>
      <c r="G79" s="396">
        <f t="shared" si="1"/>
        <v>0</v>
      </c>
      <c r="H79" s="397">
        <f t="shared" si="2"/>
        <v>12.675000000000001</v>
      </c>
      <c r="I79" s="397">
        <f t="shared" si="3"/>
        <v>0</v>
      </c>
      <c r="J79" s="397">
        <f t="shared" si="4"/>
        <v>4.8</v>
      </c>
      <c r="K79" s="397">
        <f t="shared" si="5"/>
        <v>0</v>
      </c>
      <c r="L79" s="397">
        <f t="shared" si="6"/>
        <v>3.9450000000000003</v>
      </c>
      <c r="M79" s="397">
        <f t="shared" si="7"/>
        <v>0</v>
      </c>
      <c r="N79" s="397">
        <f t="shared" si="8"/>
        <v>3.2849999999999997</v>
      </c>
      <c r="O79" s="397">
        <f t="shared" si="9"/>
        <v>0</v>
      </c>
      <c r="P79" s="584"/>
    </row>
    <row r="80" spans="1:16" s="519" customFormat="1" ht="13.5" thickBot="1">
      <c r="A80" s="1086"/>
      <c r="B80" s="319"/>
      <c r="C80" s="589" t="s">
        <v>141</v>
      </c>
      <c r="D80" s="590" t="s">
        <v>174</v>
      </c>
      <c r="E80" s="326">
        <v>250</v>
      </c>
      <c r="F80" s="38">
        <f t="shared" si="0"/>
        <v>150</v>
      </c>
      <c r="G80" s="396">
        <f t="shared" si="1"/>
        <v>0</v>
      </c>
      <c r="H80" s="397">
        <f t="shared" si="2"/>
        <v>12.675000000000001</v>
      </c>
      <c r="I80" s="397">
        <f t="shared" si="3"/>
        <v>0</v>
      </c>
      <c r="J80" s="397">
        <f t="shared" si="4"/>
        <v>4.8</v>
      </c>
      <c r="K80" s="397">
        <f t="shared" si="5"/>
        <v>0</v>
      </c>
      <c r="L80" s="397">
        <f t="shared" si="6"/>
        <v>3.9450000000000003</v>
      </c>
      <c r="M80" s="397">
        <f t="shared" si="7"/>
        <v>0</v>
      </c>
      <c r="N80" s="397">
        <f t="shared" si="8"/>
        <v>3.2849999999999997</v>
      </c>
      <c r="O80" s="397">
        <f t="shared" si="9"/>
        <v>0</v>
      </c>
      <c r="P80" s="584"/>
    </row>
    <row r="81" spans="1:16" s="519" customFormat="1" ht="13.5" thickBot="1">
      <c r="A81" s="1086"/>
      <c r="B81" s="319"/>
      <c r="C81" s="589" t="s">
        <v>251</v>
      </c>
      <c r="D81" s="931" t="s">
        <v>3868</v>
      </c>
      <c r="E81" s="326">
        <v>1959</v>
      </c>
      <c r="F81" s="38">
        <f t="shared" si="0"/>
        <v>1175.3999999999999</v>
      </c>
      <c r="G81" s="396">
        <f t="shared" si="1"/>
        <v>0</v>
      </c>
      <c r="H81" s="397">
        <f t="shared" si="2"/>
        <v>99.321299999999994</v>
      </c>
      <c r="I81" s="397">
        <f t="shared" si="3"/>
        <v>0</v>
      </c>
      <c r="J81" s="397">
        <f t="shared" si="4"/>
        <v>37.612799999999993</v>
      </c>
      <c r="K81" s="397">
        <f t="shared" si="5"/>
        <v>0</v>
      </c>
      <c r="L81" s="397">
        <f t="shared" si="6"/>
        <v>30.913019999999996</v>
      </c>
      <c r="M81" s="397">
        <f t="shared" si="7"/>
        <v>0</v>
      </c>
      <c r="N81" s="397">
        <f t="shared" si="8"/>
        <v>25.741259999999997</v>
      </c>
      <c r="O81" s="397">
        <f t="shared" si="9"/>
        <v>0</v>
      </c>
      <c r="P81" s="584"/>
    </row>
    <row r="82" spans="1:16" s="524" customFormat="1" ht="13.5" thickBot="1">
      <c r="A82" s="1086"/>
      <c r="B82" s="583"/>
      <c r="C82" s="591" t="s">
        <v>252</v>
      </c>
      <c r="D82" s="592" t="s">
        <v>3869</v>
      </c>
      <c r="E82" s="593">
        <v>996.17</v>
      </c>
      <c r="F82" s="38">
        <f t="shared" si="0"/>
        <v>597.702</v>
      </c>
      <c r="G82" s="396">
        <f t="shared" si="1"/>
        <v>0</v>
      </c>
      <c r="H82" s="397">
        <f t="shared" si="2"/>
        <v>50.505819000000002</v>
      </c>
      <c r="I82" s="397">
        <f t="shared" si="3"/>
        <v>0</v>
      </c>
      <c r="J82" s="397">
        <f t="shared" si="4"/>
        <v>19.126463999999999</v>
      </c>
      <c r="K82" s="397">
        <f t="shared" si="5"/>
        <v>0</v>
      </c>
      <c r="L82" s="397">
        <f t="shared" si="6"/>
        <v>15.7195626</v>
      </c>
      <c r="M82" s="397">
        <f t="shared" si="7"/>
        <v>0</v>
      </c>
      <c r="N82" s="397">
        <f t="shared" si="8"/>
        <v>13.0896738</v>
      </c>
      <c r="O82" s="397">
        <f t="shared" si="9"/>
        <v>0</v>
      </c>
      <c r="P82" s="584"/>
    </row>
    <row r="83" spans="1:16" s="519" customFormat="1" ht="13.5" thickBot="1">
      <c r="A83" s="1086"/>
      <c r="B83" s="583"/>
      <c r="C83" s="297" t="s">
        <v>218</v>
      </c>
      <c r="D83" s="298" t="s">
        <v>253</v>
      </c>
      <c r="E83" s="326">
        <v>70.62</v>
      </c>
      <c r="F83" s="38">
        <f t="shared" si="0"/>
        <v>42.372</v>
      </c>
      <c r="G83" s="396">
        <f t="shared" si="1"/>
        <v>0</v>
      </c>
      <c r="H83" s="397">
        <f t="shared" si="2"/>
        <v>3.5804340000000003</v>
      </c>
      <c r="I83" s="397">
        <f t="shared" si="3"/>
        <v>0</v>
      </c>
      <c r="J83" s="397">
        <f t="shared" si="4"/>
        <v>1.355904</v>
      </c>
      <c r="K83" s="397">
        <f t="shared" si="5"/>
        <v>0</v>
      </c>
      <c r="L83" s="397">
        <f t="shared" si="6"/>
        <v>1.1143836</v>
      </c>
      <c r="M83" s="397">
        <f t="shared" si="7"/>
        <v>0</v>
      </c>
      <c r="N83" s="397">
        <f t="shared" si="8"/>
        <v>0.92794679999999996</v>
      </c>
      <c r="O83" s="397">
        <f t="shared" si="9"/>
        <v>0</v>
      </c>
      <c r="P83" s="584"/>
    </row>
    <row r="84" spans="1:16" s="519" customFormat="1" ht="13.5" thickBot="1">
      <c r="A84" s="1086"/>
      <c r="B84" s="583"/>
      <c r="C84" s="297" t="s">
        <v>3870</v>
      </c>
      <c r="D84" s="298" t="s">
        <v>433</v>
      </c>
      <c r="E84" s="326">
        <v>131.61000000000001</v>
      </c>
      <c r="F84" s="38">
        <f t="shared" si="0"/>
        <v>78.966000000000008</v>
      </c>
      <c r="G84" s="396">
        <f t="shared" si="1"/>
        <v>0</v>
      </c>
      <c r="H84" s="397">
        <f t="shared" si="2"/>
        <v>6.6726270000000012</v>
      </c>
      <c r="I84" s="397">
        <f t="shared" si="3"/>
        <v>0</v>
      </c>
      <c r="J84" s="397">
        <f t="shared" si="4"/>
        <v>2.5269120000000003</v>
      </c>
      <c r="K84" s="397">
        <f t="shared" si="5"/>
        <v>0</v>
      </c>
      <c r="L84" s="397">
        <f t="shared" si="6"/>
        <v>2.0768058000000003</v>
      </c>
      <c r="M84" s="397">
        <f t="shared" si="7"/>
        <v>0</v>
      </c>
      <c r="N84" s="397">
        <f t="shared" si="8"/>
        <v>1.7293554000000002</v>
      </c>
      <c r="O84" s="397">
        <f t="shared" si="9"/>
        <v>0</v>
      </c>
      <c r="P84" s="584"/>
    </row>
    <row r="85" spans="1:16" s="524" customFormat="1" ht="13.5" thickBot="1">
      <c r="A85" s="1086"/>
      <c r="B85" s="319"/>
      <c r="C85" s="297" t="s">
        <v>3871</v>
      </c>
      <c r="D85" s="298" t="s">
        <v>385</v>
      </c>
      <c r="E85" s="326">
        <v>1075.3499999999999</v>
      </c>
      <c r="F85" s="38">
        <f t="shared" si="0"/>
        <v>645.20999999999992</v>
      </c>
      <c r="G85" s="396">
        <f t="shared" si="1"/>
        <v>0</v>
      </c>
      <c r="H85" s="397">
        <f t="shared" si="2"/>
        <v>54.520244999999996</v>
      </c>
      <c r="I85" s="397">
        <f t="shared" si="3"/>
        <v>0</v>
      </c>
      <c r="J85" s="397">
        <f t="shared" si="4"/>
        <v>20.646719999999998</v>
      </c>
      <c r="K85" s="397">
        <f t="shared" si="5"/>
        <v>0</v>
      </c>
      <c r="L85" s="397">
        <f t="shared" si="6"/>
        <v>16.969023</v>
      </c>
      <c r="M85" s="397">
        <f t="shared" si="7"/>
        <v>0</v>
      </c>
      <c r="N85" s="397">
        <f t="shared" si="8"/>
        <v>14.130098999999998</v>
      </c>
      <c r="O85" s="397">
        <f t="shared" si="9"/>
        <v>0</v>
      </c>
      <c r="P85" s="584"/>
    </row>
    <row r="86" spans="1:16" s="519" customFormat="1" ht="13.5" thickBot="1">
      <c r="A86" s="1086"/>
      <c r="B86" s="585"/>
      <c r="C86" s="297" t="s">
        <v>3872</v>
      </c>
      <c r="D86" s="298" t="s">
        <v>386</v>
      </c>
      <c r="E86" s="326">
        <v>1402.77</v>
      </c>
      <c r="F86" s="38">
        <f t="shared" si="0"/>
        <v>841.66199999999992</v>
      </c>
      <c r="G86" s="396">
        <f t="shared" si="1"/>
        <v>0</v>
      </c>
      <c r="H86" s="397">
        <f t="shared" si="2"/>
        <v>71.120439000000005</v>
      </c>
      <c r="I86" s="397">
        <f t="shared" si="3"/>
        <v>0</v>
      </c>
      <c r="J86" s="397">
        <f t="shared" si="4"/>
        <v>26.933183999999997</v>
      </c>
      <c r="K86" s="397">
        <f t="shared" si="5"/>
        <v>0</v>
      </c>
      <c r="L86" s="397">
        <f t="shared" si="6"/>
        <v>22.135710599999999</v>
      </c>
      <c r="M86" s="397">
        <f t="shared" si="7"/>
        <v>0</v>
      </c>
      <c r="N86" s="397">
        <f t="shared" si="8"/>
        <v>18.432397799999997</v>
      </c>
      <c r="O86" s="397">
        <f t="shared" si="9"/>
        <v>0</v>
      </c>
      <c r="P86" s="584"/>
    </row>
    <row r="87" spans="1:16" s="315" customFormat="1" ht="13.5" thickBot="1">
      <c r="A87" s="1086"/>
      <c r="B87" s="319"/>
      <c r="C87" s="297" t="s">
        <v>3873</v>
      </c>
      <c r="D87" s="298" t="s">
        <v>387</v>
      </c>
      <c r="E87" s="326">
        <v>1651.01</v>
      </c>
      <c r="F87" s="38">
        <f t="shared" si="0"/>
        <v>990.60599999999999</v>
      </c>
      <c r="G87" s="396">
        <f t="shared" si="1"/>
        <v>0</v>
      </c>
      <c r="H87" s="397">
        <f t="shared" si="2"/>
        <v>83.706207000000006</v>
      </c>
      <c r="I87" s="397">
        <f t="shared" si="3"/>
        <v>0</v>
      </c>
      <c r="J87" s="397">
        <f t="shared" si="4"/>
        <v>31.699392</v>
      </c>
      <c r="K87" s="397">
        <f t="shared" si="5"/>
        <v>0</v>
      </c>
      <c r="L87" s="397">
        <f t="shared" si="6"/>
        <v>26.052937799999999</v>
      </c>
      <c r="M87" s="397">
        <f t="shared" si="7"/>
        <v>0</v>
      </c>
      <c r="N87" s="397">
        <f t="shared" si="8"/>
        <v>21.694271399999998</v>
      </c>
      <c r="O87" s="397">
        <f t="shared" si="9"/>
        <v>0</v>
      </c>
      <c r="P87" s="584"/>
    </row>
    <row r="88" spans="1:16" s="315" customFormat="1" ht="13.5" thickBot="1">
      <c r="A88" s="1086"/>
      <c r="B88" s="585"/>
      <c r="C88" s="586" t="s">
        <v>254</v>
      </c>
      <c r="D88" s="298" t="s">
        <v>3874</v>
      </c>
      <c r="E88" s="326">
        <v>1964.52</v>
      </c>
      <c r="F88" s="38">
        <f t="shared" si="0"/>
        <v>1178.712</v>
      </c>
      <c r="G88" s="396">
        <f t="shared" si="1"/>
        <v>0</v>
      </c>
      <c r="H88" s="397">
        <f t="shared" si="2"/>
        <v>99.601164000000011</v>
      </c>
      <c r="I88" s="397">
        <f t="shared" si="3"/>
        <v>0</v>
      </c>
      <c r="J88" s="397">
        <f t="shared" si="4"/>
        <v>37.718783999999999</v>
      </c>
      <c r="K88" s="397">
        <f t="shared" si="5"/>
        <v>0</v>
      </c>
      <c r="L88" s="397">
        <f t="shared" si="6"/>
        <v>31.000125600000001</v>
      </c>
      <c r="M88" s="397">
        <f t="shared" si="7"/>
        <v>0</v>
      </c>
      <c r="N88" s="397">
        <f t="shared" si="8"/>
        <v>25.813792799999998</v>
      </c>
      <c r="O88" s="397">
        <f t="shared" si="9"/>
        <v>0</v>
      </c>
      <c r="P88" s="584"/>
    </row>
    <row r="89" spans="1:16" s="315" customFormat="1" ht="13.5" thickBot="1">
      <c r="A89" s="1086"/>
      <c r="B89" s="585"/>
      <c r="C89" s="297" t="s">
        <v>256</v>
      </c>
      <c r="D89" s="298" t="s">
        <v>3875</v>
      </c>
      <c r="E89" s="326">
        <v>690.15</v>
      </c>
      <c r="F89" s="38">
        <f t="shared" si="0"/>
        <v>414.09</v>
      </c>
      <c r="G89" s="396">
        <f t="shared" si="1"/>
        <v>0</v>
      </c>
      <c r="H89" s="397">
        <f t="shared" si="2"/>
        <v>34.990605000000002</v>
      </c>
      <c r="I89" s="397">
        <f t="shared" si="3"/>
        <v>0</v>
      </c>
      <c r="J89" s="397">
        <f t="shared" si="4"/>
        <v>13.250879999999999</v>
      </c>
      <c r="K89" s="397">
        <f t="shared" si="5"/>
        <v>0</v>
      </c>
      <c r="L89" s="397">
        <f t="shared" si="6"/>
        <v>10.890566999999999</v>
      </c>
      <c r="M89" s="397">
        <f t="shared" si="7"/>
        <v>0</v>
      </c>
      <c r="N89" s="397">
        <f t="shared" si="8"/>
        <v>9.0685709999999986</v>
      </c>
      <c r="O89" s="397">
        <f t="shared" si="9"/>
        <v>0</v>
      </c>
      <c r="P89" s="584"/>
    </row>
    <row r="90" spans="1:16" s="315" customFormat="1" ht="13.5" thickBot="1">
      <c r="A90" s="1086"/>
      <c r="B90" s="585"/>
      <c r="C90" s="297" t="s">
        <v>3876</v>
      </c>
      <c r="D90" s="298" t="s">
        <v>3877</v>
      </c>
      <c r="E90" s="326">
        <v>690.15</v>
      </c>
      <c r="F90" s="38">
        <f t="shared" si="0"/>
        <v>414.09</v>
      </c>
      <c r="G90" s="396">
        <f t="shared" si="1"/>
        <v>0</v>
      </c>
      <c r="H90" s="397">
        <f t="shared" si="2"/>
        <v>34.990605000000002</v>
      </c>
      <c r="I90" s="397">
        <f t="shared" si="3"/>
        <v>0</v>
      </c>
      <c r="J90" s="397">
        <f t="shared" si="4"/>
        <v>13.250879999999999</v>
      </c>
      <c r="K90" s="397">
        <f t="shared" si="5"/>
        <v>0</v>
      </c>
      <c r="L90" s="397">
        <f t="shared" si="6"/>
        <v>10.890566999999999</v>
      </c>
      <c r="M90" s="397">
        <f t="shared" si="7"/>
        <v>0</v>
      </c>
      <c r="N90" s="397">
        <f t="shared" si="8"/>
        <v>9.0685709999999986</v>
      </c>
      <c r="O90" s="397">
        <f t="shared" si="9"/>
        <v>0</v>
      </c>
      <c r="P90" s="584"/>
    </row>
    <row r="91" spans="1:16" s="519" customFormat="1" ht="13.5" thickBot="1">
      <c r="A91" s="1086"/>
      <c r="B91" s="319"/>
      <c r="C91" s="297" t="s">
        <v>257</v>
      </c>
      <c r="D91" s="298" t="s">
        <v>3878</v>
      </c>
      <c r="E91" s="326">
        <v>1348</v>
      </c>
      <c r="F91" s="38">
        <f t="shared" si="0"/>
        <v>808.8</v>
      </c>
      <c r="G91" s="396">
        <f t="shared" si="1"/>
        <v>0</v>
      </c>
      <c r="H91" s="397">
        <f t="shared" si="2"/>
        <v>68.343599999999995</v>
      </c>
      <c r="I91" s="397">
        <f t="shared" si="3"/>
        <v>0</v>
      </c>
      <c r="J91" s="397">
        <f t="shared" si="4"/>
        <v>25.881599999999999</v>
      </c>
      <c r="K91" s="397">
        <f t="shared" si="5"/>
        <v>0</v>
      </c>
      <c r="L91" s="397">
        <f t="shared" si="6"/>
        <v>21.271439999999998</v>
      </c>
      <c r="M91" s="397">
        <f t="shared" si="7"/>
        <v>0</v>
      </c>
      <c r="N91" s="397">
        <f t="shared" si="8"/>
        <v>17.712719999999997</v>
      </c>
      <c r="O91" s="397">
        <f t="shared" si="9"/>
        <v>0</v>
      </c>
      <c r="P91" s="584"/>
    </row>
    <row r="92" spans="1:16" s="524" customFormat="1" ht="13.5" thickBot="1">
      <c r="A92" s="1086"/>
      <c r="B92" s="585"/>
      <c r="C92" s="297" t="s">
        <v>259</v>
      </c>
      <c r="D92" s="298" t="s">
        <v>436</v>
      </c>
      <c r="E92" s="326">
        <v>32.1</v>
      </c>
      <c r="F92" s="38">
        <f t="shared" si="0"/>
        <v>19.260000000000002</v>
      </c>
      <c r="G92" s="396">
        <f t="shared" si="1"/>
        <v>0</v>
      </c>
      <c r="H92" s="397">
        <f t="shared" si="2"/>
        <v>1.6274700000000002</v>
      </c>
      <c r="I92" s="397">
        <f t="shared" si="3"/>
        <v>0</v>
      </c>
      <c r="J92" s="397">
        <f t="shared" si="4"/>
        <v>0.61632000000000009</v>
      </c>
      <c r="K92" s="397">
        <f t="shared" si="5"/>
        <v>0</v>
      </c>
      <c r="L92" s="397">
        <f t="shared" si="6"/>
        <v>0.50653800000000004</v>
      </c>
      <c r="M92" s="397">
        <f t="shared" si="7"/>
        <v>0</v>
      </c>
      <c r="N92" s="397">
        <f t="shared" si="8"/>
        <v>0.421794</v>
      </c>
      <c r="O92" s="397">
        <f t="shared" si="9"/>
        <v>0</v>
      </c>
      <c r="P92" s="584"/>
    </row>
    <row r="93" spans="1:16" s="519" customFormat="1" ht="13.5" thickBot="1">
      <c r="A93" s="1086"/>
      <c r="B93" s="583"/>
      <c r="C93" s="297" t="s">
        <v>527</v>
      </c>
      <c r="D93" s="298" t="s">
        <v>224</v>
      </c>
      <c r="E93" s="326">
        <v>35.31</v>
      </c>
      <c r="F93" s="38">
        <f t="shared" si="0"/>
        <v>21.186</v>
      </c>
      <c r="G93" s="396">
        <f t="shared" si="1"/>
        <v>0</v>
      </c>
      <c r="H93" s="397">
        <f t="shared" si="2"/>
        <v>1.7902170000000002</v>
      </c>
      <c r="I93" s="397">
        <f t="shared" si="3"/>
        <v>0</v>
      </c>
      <c r="J93" s="397">
        <f t="shared" si="4"/>
        <v>0.677952</v>
      </c>
      <c r="K93" s="397">
        <f t="shared" si="5"/>
        <v>0</v>
      </c>
      <c r="L93" s="397">
        <f t="shared" si="6"/>
        <v>0.55719180000000001</v>
      </c>
      <c r="M93" s="397">
        <f t="shared" si="7"/>
        <v>0</v>
      </c>
      <c r="N93" s="397">
        <f t="shared" si="8"/>
        <v>0.46397339999999998</v>
      </c>
      <c r="O93" s="397">
        <f t="shared" si="9"/>
        <v>0</v>
      </c>
      <c r="P93" s="584"/>
    </row>
    <row r="94" spans="1:16" s="315" customFormat="1" ht="13.5" thickBot="1">
      <c r="A94" s="1086"/>
      <c r="B94" s="583"/>
      <c r="C94" s="297" t="s">
        <v>530</v>
      </c>
      <c r="D94" s="298" t="s">
        <v>3879</v>
      </c>
      <c r="E94" s="326">
        <v>306.02</v>
      </c>
      <c r="F94" s="594">
        <f t="shared" si="0"/>
        <v>183.61199999999999</v>
      </c>
      <c r="G94" s="396">
        <f t="shared" si="1"/>
        <v>0</v>
      </c>
      <c r="H94" s="397">
        <f t="shared" si="2"/>
        <v>15.515214</v>
      </c>
      <c r="I94" s="397">
        <f t="shared" si="3"/>
        <v>0</v>
      </c>
      <c r="J94" s="397">
        <f t="shared" si="4"/>
        <v>5.8755839999999999</v>
      </c>
      <c r="K94" s="397">
        <f t="shared" si="5"/>
        <v>0</v>
      </c>
      <c r="L94" s="397">
        <f t="shared" si="6"/>
        <v>4.8289955999999998</v>
      </c>
      <c r="M94" s="397">
        <f t="shared" si="7"/>
        <v>0</v>
      </c>
      <c r="N94" s="397">
        <f t="shared" si="8"/>
        <v>4.0211027999999995</v>
      </c>
      <c r="O94" s="397">
        <f t="shared" si="9"/>
        <v>0</v>
      </c>
      <c r="P94" s="584"/>
    </row>
    <row r="95" spans="1:16" s="315" customFormat="1" ht="13.5" thickBot="1">
      <c r="A95" s="1086"/>
      <c r="B95" s="585"/>
      <c r="C95" s="297" t="s">
        <v>299</v>
      </c>
      <c r="D95" s="298" t="s">
        <v>437</v>
      </c>
      <c r="E95" s="326">
        <v>348.82</v>
      </c>
      <c r="F95" s="38">
        <f t="shared" si="0"/>
        <v>209.292</v>
      </c>
      <c r="G95" s="396">
        <f t="shared" si="1"/>
        <v>0</v>
      </c>
      <c r="H95" s="397">
        <f t="shared" si="2"/>
        <v>17.685174</v>
      </c>
      <c r="I95" s="397">
        <f t="shared" si="3"/>
        <v>0</v>
      </c>
      <c r="J95" s="397">
        <f t="shared" si="4"/>
        <v>6.6973440000000002</v>
      </c>
      <c r="K95" s="397">
        <f t="shared" si="5"/>
        <v>0</v>
      </c>
      <c r="L95" s="397">
        <f t="shared" si="6"/>
        <v>5.5043796</v>
      </c>
      <c r="M95" s="397">
        <f t="shared" si="7"/>
        <v>0</v>
      </c>
      <c r="N95" s="397">
        <f t="shared" si="8"/>
        <v>4.5834947999999995</v>
      </c>
      <c r="O95" s="397">
        <f t="shared" si="9"/>
        <v>0</v>
      </c>
      <c r="P95" s="584"/>
    </row>
    <row r="96" spans="1:16" s="315" customFormat="1" ht="13.5" thickBot="1">
      <c r="A96" s="1087"/>
      <c r="B96" s="583"/>
      <c r="C96" s="297" t="s">
        <v>3880</v>
      </c>
      <c r="D96" s="298" t="s">
        <v>225</v>
      </c>
      <c r="E96" s="326">
        <v>132.68</v>
      </c>
      <c r="F96" s="38">
        <f t="shared" si="0"/>
        <v>79.608000000000004</v>
      </c>
      <c r="G96" s="396">
        <f t="shared" si="1"/>
        <v>0</v>
      </c>
      <c r="H96" s="397">
        <f t="shared" si="2"/>
        <v>6.7268760000000007</v>
      </c>
      <c r="I96" s="397">
        <f t="shared" si="3"/>
        <v>0</v>
      </c>
      <c r="J96" s="397">
        <f t="shared" si="4"/>
        <v>2.5474560000000004</v>
      </c>
      <c r="K96" s="397">
        <f t="shared" si="5"/>
        <v>0</v>
      </c>
      <c r="L96" s="397">
        <f t="shared" si="6"/>
        <v>2.0936904000000003</v>
      </c>
      <c r="M96" s="397">
        <f t="shared" si="7"/>
        <v>0</v>
      </c>
      <c r="N96" s="397">
        <f t="shared" si="8"/>
        <v>1.7434152000000001</v>
      </c>
      <c r="O96" s="397">
        <f t="shared" si="9"/>
        <v>0</v>
      </c>
      <c r="P96" s="584"/>
    </row>
    <row r="97" spans="1:15" s="315" customFormat="1" ht="15">
      <c r="C97" s="572"/>
      <c r="D97" s="1008" t="s">
        <v>65</v>
      </c>
      <c r="E97" s="1088"/>
      <c r="F97" s="1088"/>
      <c r="G97" s="520">
        <f t="array" ref="G97">SUM(G52:G96)+G40:G52:G96+G44:G52:G96+G48</f>
        <v>0</v>
      </c>
      <c r="H97" s="329" t="s">
        <v>66</v>
      </c>
      <c r="I97" s="520">
        <f t="array" ref="I97">SUM(I52:I96)+I40:I52:I96+I44:I52:I96+I48</f>
        <v>0</v>
      </c>
      <c r="J97" s="329" t="s">
        <v>67</v>
      </c>
      <c r="K97" s="520">
        <f t="array" ref="K97">SUM(K52:K96)+K40:K52:K96+K44:K52:K96+K48</f>
        <v>0</v>
      </c>
      <c r="L97" s="329" t="s">
        <v>68</v>
      </c>
      <c r="M97" s="520">
        <f t="array" ref="M97">SUM(M52:M96)+M40:M52:M96+M44:M52:M96+M48</f>
        <v>0</v>
      </c>
      <c r="N97" s="329" t="s">
        <v>69</v>
      </c>
      <c r="O97" s="520">
        <f t="array" ref="O97">SUM(O52:O96)+O40:O52:O96+O44:O52:O96+O48</f>
        <v>0</v>
      </c>
    </row>
    <row r="98" spans="1:15" s="315" customFormat="1" ht="14.25">
      <c r="C98" s="574"/>
      <c r="F98" s="456"/>
      <c r="G98" s="331"/>
    </row>
    <row r="99" spans="1:15" s="315" customFormat="1">
      <c r="C99" s="256"/>
      <c r="F99" s="456"/>
    </row>
    <row r="100" spans="1:15" ht="18">
      <c r="A100" s="595"/>
    </row>
    <row r="101" spans="1:15" ht="18">
      <c r="A101" s="595"/>
    </row>
    <row r="118" spans="3:3">
      <c r="C118" s="258"/>
    </row>
  </sheetData>
  <mergeCells count="58">
    <mergeCell ref="A28:D28"/>
    <mergeCell ref="E28:J28"/>
    <mergeCell ref="K28:O28"/>
    <mergeCell ref="A4:O4"/>
    <mergeCell ref="A5:O5"/>
    <mergeCell ref="H9:J9"/>
    <mergeCell ref="D23:D24"/>
    <mergeCell ref="A27:O27"/>
    <mergeCell ref="A30:C30"/>
    <mergeCell ref="E30:H30"/>
    <mergeCell ref="I30:J30"/>
    <mergeCell ref="K30:M30"/>
    <mergeCell ref="N30:O30"/>
    <mergeCell ref="A29:C29"/>
    <mergeCell ref="E29:H29"/>
    <mergeCell ref="I29:J29"/>
    <mergeCell ref="K29:M29"/>
    <mergeCell ref="N29:O29"/>
    <mergeCell ref="I38:O38"/>
    <mergeCell ref="A31:C31"/>
    <mergeCell ref="E31:H31"/>
    <mergeCell ref="I31:J31"/>
    <mergeCell ref="K31:M31"/>
    <mergeCell ref="N31:O31"/>
    <mergeCell ref="A32:C32"/>
    <mergeCell ref="E32:H32"/>
    <mergeCell ref="I32:J32"/>
    <mergeCell ref="K32:M32"/>
    <mergeCell ref="N32:O32"/>
    <mergeCell ref="A35:D35"/>
    <mergeCell ref="A36:C36"/>
    <mergeCell ref="A37:C37"/>
    <mergeCell ref="A38:C38"/>
    <mergeCell ref="F38:H38"/>
    <mergeCell ref="O40:O42"/>
    <mergeCell ref="A44:A46"/>
    <mergeCell ref="B44:B46"/>
    <mergeCell ref="G44:G46"/>
    <mergeCell ref="I44:I46"/>
    <mergeCell ref="K44:K46"/>
    <mergeCell ref="M44:M46"/>
    <mergeCell ref="O44:O46"/>
    <mergeCell ref="A40:A42"/>
    <mergeCell ref="B40:B42"/>
    <mergeCell ref="G40:G42"/>
    <mergeCell ref="I40:I42"/>
    <mergeCell ref="K40:K42"/>
    <mergeCell ref="M40:M42"/>
    <mergeCell ref="O48:O50"/>
    <mergeCell ref="A51:O51"/>
    <mergeCell ref="A52:A96"/>
    <mergeCell ref="D97:F97"/>
    <mergeCell ref="A48:A50"/>
    <mergeCell ref="B48:B50"/>
    <mergeCell ref="G48:G50"/>
    <mergeCell ref="I48:I50"/>
    <mergeCell ref="K48:K50"/>
    <mergeCell ref="M48:M5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7B1A7-5A02-46F1-ACDD-6F3AEDFF7830}">
  <sheetPr>
    <tabColor indexed="62"/>
  </sheetPr>
  <dimension ref="A1:S263"/>
  <sheetViews>
    <sheetView zoomScale="80" zoomScaleNormal="80" workbookViewId="0">
      <selection activeCell="C27" sqref="C27"/>
    </sheetView>
  </sheetViews>
  <sheetFormatPr defaultColWidth="8.85546875" defaultRowHeight="15.75"/>
  <cols>
    <col min="1" max="1" width="14" style="139" customWidth="1"/>
    <col min="2" max="2" width="8.7109375" style="139" customWidth="1"/>
    <col min="3" max="3" width="16.42578125" style="139" customWidth="1"/>
    <col min="4" max="4" width="42" style="139" customWidth="1"/>
    <col min="5" max="5" width="17" style="139" customWidth="1"/>
    <col min="6" max="6" width="18.28515625" style="333" customWidth="1"/>
    <col min="7" max="7" width="16" style="333" customWidth="1"/>
    <col min="8" max="8" width="21.28515625" style="139" customWidth="1"/>
    <col min="9" max="9" width="25.5703125" style="139" customWidth="1"/>
    <col min="10" max="10" width="20.5703125" style="139" customWidth="1"/>
    <col min="11" max="11" width="21.140625" style="139" customWidth="1"/>
    <col min="12" max="12" width="20" style="139" customWidth="1"/>
    <col min="13" max="13" width="19" style="139" customWidth="1"/>
    <col min="14" max="14" width="19.5703125" style="139" customWidth="1"/>
    <col min="15" max="15" width="19.140625" style="139" customWidth="1"/>
    <col min="16" max="16" width="19.5703125" style="139" customWidth="1"/>
    <col min="17" max="17" width="19.140625" style="139" customWidth="1"/>
    <col min="18" max="18" width="12.42578125" style="139" customWidth="1"/>
    <col min="19" max="16384" width="8.85546875" style="139"/>
  </cols>
  <sheetData>
    <row r="1" spans="1:17" ht="16.5" thickBot="1">
      <c r="B1" s="140"/>
      <c r="C1" s="140"/>
      <c r="D1" s="141"/>
      <c r="E1" s="141"/>
      <c r="F1" s="142"/>
      <c r="G1" s="142"/>
      <c r="H1" s="142"/>
      <c r="I1" s="142"/>
      <c r="J1" s="142"/>
      <c r="K1" s="141"/>
      <c r="L1" s="142"/>
    </row>
    <row r="2" spans="1:17" ht="9" customHeight="1">
      <c r="A2" s="143"/>
      <c r="B2" s="144"/>
      <c r="C2" s="144"/>
      <c r="D2" s="145"/>
      <c r="E2" s="145"/>
      <c r="F2" s="146"/>
      <c r="G2" s="146"/>
      <c r="H2" s="146"/>
      <c r="I2" s="147"/>
      <c r="J2" s="147"/>
      <c r="K2" s="147"/>
      <c r="L2" s="147"/>
      <c r="M2" s="143"/>
      <c r="N2" s="143"/>
      <c r="O2" s="143"/>
      <c r="P2" s="143"/>
      <c r="Q2" s="143"/>
    </row>
    <row r="3" spans="1:17" ht="10.5" customHeight="1">
      <c r="B3" s="140"/>
      <c r="C3" s="140"/>
      <c r="D3" s="141"/>
      <c r="E3" s="141"/>
      <c r="F3" s="142"/>
      <c r="G3" s="142"/>
      <c r="H3" s="142"/>
      <c r="I3" s="148"/>
      <c r="J3" s="148"/>
      <c r="K3" s="148"/>
      <c r="L3" s="148"/>
    </row>
    <row r="4" spans="1:17" ht="36" customHeight="1">
      <c r="A4" s="1315" t="s">
        <v>4141</v>
      </c>
      <c r="B4" s="1020"/>
      <c r="C4" s="1020"/>
      <c r="D4" s="1020"/>
      <c r="E4" s="1020"/>
      <c r="F4" s="1020"/>
      <c r="G4" s="1020"/>
      <c r="H4" s="1020"/>
      <c r="I4" s="1020"/>
      <c r="J4" s="1020"/>
      <c r="K4" s="1020"/>
      <c r="L4" s="1020"/>
      <c r="M4" s="1020"/>
      <c r="N4" s="1020"/>
      <c r="O4" s="1020"/>
      <c r="P4" s="256"/>
      <c r="Q4" s="256"/>
    </row>
    <row r="5" spans="1:17" s="149" customFormat="1" ht="46.5" customHeight="1">
      <c r="A5" s="1316" t="s">
        <v>4142</v>
      </c>
      <c r="B5" s="1045"/>
      <c r="C5" s="1045"/>
      <c r="D5" s="1045"/>
      <c r="E5" s="1045"/>
      <c r="F5" s="1045"/>
      <c r="G5" s="1045"/>
      <c r="H5" s="1045"/>
      <c r="I5" s="1045"/>
      <c r="J5" s="1045"/>
      <c r="K5" s="1045"/>
      <c r="L5" s="1045"/>
      <c r="M5" s="1045"/>
      <c r="N5" s="1045"/>
      <c r="O5" s="1045"/>
      <c r="P5" s="266"/>
      <c r="Q5" s="266"/>
    </row>
    <row r="6" spans="1:17" ht="9" customHeight="1" thickBot="1">
      <c r="A6" s="150"/>
      <c r="B6" s="151"/>
      <c r="C6" s="151"/>
      <c r="D6" s="152"/>
      <c r="E6" s="152"/>
      <c r="F6" s="153"/>
      <c r="G6" s="153"/>
      <c r="H6" s="153"/>
      <c r="I6" s="154"/>
      <c r="J6" s="154"/>
      <c r="K6" s="154"/>
      <c r="L6" s="154"/>
      <c r="M6" s="150"/>
      <c r="N6" s="150"/>
      <c r="O6" s="150"/>
      <c r="P6" s="150"/>
      <c r="Q6" s="150"/>
    </row>
    <row r="7" spans="1:17" s="148" customFormat="1" ht="14.25">
      <c r="B7" s="155"/>
      <c r="C7" s="155"/>
      <c r="D7" s="156"/>
      <c r="E7" s="156"/>
      <c r="F7" s="156"/>
      <c r="G7" s="156"/>
      <c r="H7" s="156"/>
      <c r="I7" s="156"/>
      <c r="J7" s="156"/>
      <c r="K7" s="156"/>
      <c r="L7" s="156"/>
      <c r="M7" s="156"/>
      <c r="N7" s="156"/>
      <c r="O7" s="156"/>
      <c r="P7" s="156"/>
      <c r="Q7" s="156"/>
    </row>
    <row r="8" spans="1:17" s="148" customFormat="1">
      <c r="F8" s="1179" t="s">
        <v>0</v>
      </c>
      <c r="G8" s="1179"/>
      <c r="H8" s="1179"/>
      <c r="I8" s="1322"/>
      <c r="J8" s="139"/>
      <c r="K8" s="139"/>
      <c r="L8" s="139"/>
    </row>
    <row r="9" spans="1:17" s="148" customFormat="1" ht="14.25">
      <c r="C9" s="270"/>
      <c r="D9" s="265"/>
      <c r="F9" s="270" t="s">
        <v>261</v>
      </c>
      <c r="G9" s="265" t="s">
        <v>1388</v>
      </c>
      <c r="H9" s="157"/>
      <c r="I9" s="158"/>
      <c r="J9" s="159"/>
      <c r="L9" s="159"/>
    </row>
    <row r="10" spans="1:17" s="148" customFormat="1" ht="14.25">
      <c r="C10" s="270"/>
      <c r="D10" s="265"/>
      <c r="F10" s="270" t="s">
        <v>263</v>
      </c>
      <c r="G10" s="265" t="s">
        <v>1389</v>
      </c>
      <c r="H10" s="157"/>
      <c r="I10" s="158"/>
      <c r="J10" s="159"/>
      <c r="L10" s="159"/>
    </row>
    <row r="11" spans="1:17" s="148" customFormat="1" ht="14.25">
      <c r="C11" s="270"/>
      <c r="D11" s="265"/>
      <c r="F11" s="270" t="s">
        <v>265</v>
      </c>
      <c r="G11" s="265" t="s">
        <v>1390</v>
      </c>
      <c r="H11" s="157"/>
      <c r="I11" s="158"/>
      <c r="J11" s="159"/>
      <c r="L11" s="159"/>
    </row>
    <row r="12" spans="1:17" s="148" customFormat="1" ht="14.25">
      <c r="C12" s="270"/>
      <c r="D12" s="265"/>
      <c r="F12" s="270" t="s">
        <v>7</v>
      </c>
      <c r="G12" s="265" t="s">
        <v>1411</v>
      </c>
      <c r="H12" s="157"/>
      <c r="I12" s="158"/>
      <c r="J12" s="159"/>
      <c r="L12" s="159"/>
    </row>
    <row r="13" spans="1:17" s="148" customFormat="1" ht="14.25">
      <c r="C13" s="270"/>
      <c r="D13" s="265"/>
      <c r="E13" s="160"/>
      <c r="F13" s="270" t="s">
        <v>8</v>
      </c>
      <c r="G13" s="265" t="s">
        <v>1412</v>
      </c>
      <c r="H13" s="157"/>
      <c r="I13" s="158"/>
      <c r="J13" s="159"/>
      <c r="L13" s="159"/>
    </row>
    <row r="14" spans="1:17" s="148" customFormat="1" ht="14.25">
      <c r="C14" s="270"/>
      <c r="D14" s="265"/>
      <c r="F14" s="270" t="s">
        <v>10</v>
      </c>
      <c r="G14" s="265" t="s">
        <v>1393</v>
      </c>
      <c r="H14" s="157"/>
      <c r="I14" s="158"/>
      <c r="J14" s="159"/>
      <c r="L14" s="159"/>
    </row>
    <row r="15" spans="1:17" s="148" customFormat="1" ht="14.25">
      <c r="C15" s="270"/>
      <c r="D15" s="265"/>
      <c r="F15" s="270" t="s">
        <v>409</v>
      </c>
      <c r="G15" s="265" t="s">
        <v>1394</v>
      </c>
      <c r="H15" s="157"/>
      <c r="I15" s="158"/>
      <c r="J15" s="159"/>
      <c r="L15" s="159"/>
    </row>
    <row r="16" spans="1:17" s="265" customFormat="1" ht="14.25">
      <c r="C16" s="270"/>
      <c r="F16" s="270" t="s">
        <v>14</v>
      </c>
      <c r="G16" s="265" t="s">
        <v>272</v>
      </c>
      <c r="H16" s="157"/>
      <c r="I16" s="161"/>
    </row>
    <row r="17" spans="1:19" s="265" customFormat="1" ht="14.25">
      <c r="C17" s="270"/>
      <c r="F17" s="270" t="s">
        <v>18</v>
      </c>
      <c r="G17" s="265" t="s">
        <v>1289</v>
      </c>
      <c r="H17" s="157"/>
      <c r="I17" s="161"/>
    </row>
    <row r="18" spans="1:19" s="148" customFormat="1" ht="14.25">
      <c r="C18" s="270"/>
      <c r="D18" s="265"/>
      <c r="F18" s="270" t="s">
        <v>276</v>
      </c>
      <c r="G18" s="265" t="s">
        <v>1395</v>
      </c>
      <c r="H18" s="157"/>
      <c r="I18" s="161"/>
      <c r="J18" s="162"/>
      <c r="L18" s="162"/>
    </row>
    <row r="19" spans="1:19" s="148" customFormat="1" ht="14.25">
      <c r="C19" s="270"/>
      <c r="D19" s="265"/>
      <c r="F19" s="270" t="s">
        <v>26</v>
      </c>
      <c r="G19" s="265" t="s">
        <v>1396</v>
      </c>
      <c r="H19" s="157"/>
      <c r="I19" s="161"/>
      <c r="J19" s="162"/>
      <c r="L19" s="162"/>
    </row>
    <row r="20" spans="1:19" s="148" customFormat="1" ht="14.25">
      <c r="C20" s="270"/>
      <c r="D20" s="278"/>
      <c r="F20" s="270" t="s">
        <v>28</v>
      </c>
      <c r="G20" s="278" t="s">
        <v>1397</v>
      </c>
      <c r="H20" s="157"/>
      <c r="I20" s="157"/>
      <c r="J20" s="162"/>
      <c r="L20" s="162"/>
    </row>
    <row r="21" spans="1:19" s="265" customFormat="1" ht="14.25">
      <c r="A21" s="1179" t="s">
        <v>30</v>
      </c>
      <c r="B21" s="1179"/>
      <c r="C21" s="1179"/>
      <c r="D21" s="1179"/>
      <c r="E21" s="1179"/>
      <c r="F21" s="1179"/>
      <c r="G21" s="1179"/>
      <c r="H21" s="1179"/>
      <c r="I21" s="1179"/>
      <c r="J21" s="1179"/>
      <c r="K21" s="1179"/>
      <c r="L21" s="1179"/>
      <c r="M21" s="1179"/>
      <c r="N21" s="1179"/>
      <c r="O21" s="1179"/>
      <c r="P21" s="1179"/>
      <c r="Q21" s="1179"/>
      <c r="R21" s="1179"/>
      <c r="S21" s="1179"/>
    </row>
    <row r="22" spans="1:19" s="265" customFormat="1" ht="14.25">
      <c r="A22" s="1318" t="s">
        <v>1065</v>
      </c>
      <c r="B22" s="1319"/>
      <c r="C22" s="1319"/>
      <c r="D22" s="1319"/>
      <c r="E22" s="1319"/>
      <c r="F22" s="1319"/>
      <c r="G22" s="1319"/>
      <c r="H22" s="1319"/>
      <c r="I22" s="1319"/>
      <c r="J22" s="1319"/>
      <c r="K22" s="1319"/>
      <c r="L22" s="1319"/>
      <c r="M22" s="1319"/>
      <c r="N22" s="1319"/>
      <c r="O22" s="1319"/>
      <c r="P22" s="1319"/>
      <c r="Q22" s="1319"/>
      <c r="R22" s="1319"/>
      <c r="S22" s="1319"/>
    </row>
    <row r="23" spans="1:19" s="148" customFormat="1" ht="12.75" customHeight="1">
      <c r="B23" s="164"/>
      <c r="C23" s="164"/>
      <c r="D23" s="165"/>
      <c r="E23" s="165"/>
      <c r="F23" s="166"/>
      <c r="G23" s="166"/>
      <c r="I23" s="149"/>
      <c r="J23" s="149"/>
      <c r="K23" s="149"/>
      <c r="L23" s="149"/>
    </row>
    <row r="24" spans="1:19" s="148" customFormat="1" ht="12.75" customHeight="1" thickBot="1">
      <c r="D24" s="165"/>
      <c r="E24" s="165"/>
      <c r="F24" s="166"/>
      <c r="G24" s="166"/>
      <c r="I24" s="167"/>
      <c r="J24" s="167"/>
      <c r="K24" s="167"/>
      <c r="L24" s="167"/>
    </row>
    <row r="25" spans="1:19" s="148" customFormat="1" ht="15.75" customHeight="1" thickBot="1">
      <c r="F25" s="1021" t="s">
        <v>43</v>
      </c>
      <c r="G25" s="1022"/>
      <c r="H25" s="1312" t="s">
        <v>44</v>
      </c>
      <c r="I25" s="1313"/>
      <c r="J25" s="1313"/>
      <c r="K25" s="1313"/>
      <c r="L25" s="1313"/>
      <c r="M25" s="1313"/>
      <c r="N25" s="1313"/>
      <c r="O25" s="1313"/>
      <c r="P25" s="1313"/>
      <c r="Q25" s="1314"/>
    </row>
    <row r="26" spans="1:19" s="170" customFormat="1" ht="63.75" customHeight="1" thickBot="1">
      <c r="A26" s="168" t="s">
        <v>45</v>
      </c>
      <c r="B26" s="168" t="s">
        <v>46</v>
      </c>
      <c r="C26" s="169" t="s">
        <v>47</v>
      </c>
      <c r="D26" s="169" t="s">
        <v>48</v>
      </c>
      <c r="E26" s="169" t="s">
        <v>49</v>
      </c>
      <c r="F26" s="169" t="s">
        <v>50</v>
      </c>
      <c r="G26" s="168" t="s">
        <v>51</v>
      </c>
      <c r="H26" s="169" t="s">
        <v>53</v>
      </c>
      <c r="I26" s="168" t="s">
        <v>51</v>
      </c>
      <c r="J26" s="169" t="s">
        <v>54</v>
      </c>
      <c r="K26" s="168" t="s">
        <v>51</v>
      </c>
      <c r="L26" s="169" t="s">
        <v>55</v>
      </c>
      <c r="M26" s="168" t="s">
        <v>51</v>
      </c>
      <c r="N26" s="169" t="s">
        <v>847</v>
      </c>
      <c r="O26" s="168" t="s">
        <v>51</v>
      </c>
      <c r="P26" s="169" t="s">
        <v>848</v>
      </c>
      <c r="Q26" s="168" t="s">
        <v>51</v>
      </c>
    </row>
    <row r="27" spans="1:19" s="171" customFormat="1" ht="26.25" customHeight="1" thickBot="1">
      <c r="A27" s="1306" t="s">
        <v>1293</v>
      </c>
      <c r="B27" s="1308"/>
      <c r="C27" s="956" t="s">
        <v>4144</v>
      </c>
      <c r="D27" s="957" t="s">
        <v>4143</v>
      </c>
      <c r="E27" s="958">
        <v>418448.09</v>
      </c>
      <c r="F27" s="28">
        <f>SUM(E27:E28)*(1-51.6%)</f>
        <v>202654.23156000001</v>
      </c>
      <c r="G27" s="1011">
        <f>F27*B27</f>
        <v>0</v>
      </c>
      <c r="H27" s="29">
        <f>F27*0.03137</f>
        <v>6357.2632440372008</v>
      </c>
      <c r="I27" s="1011">
        <f>H27*B27</f>
        <v>0</v>
      </c>
      <c r="J27" s="29">
        <f>F27*0.0274</f>
        <v>5552.7259447440001</v>
      </c>
      <c r="K27" s="1011">
        <f>J27*B27</f>
        <v>0</v>
      </c>
      <c r="L27" s="410">
        <f>F27*0.0228</f>
        <v>4620.5164795680002</v>
      </c>
      <c r="M27" s="1011">
        <f>L27*B27</f>
        <v>0</v>
      </c>
      <c r="N27" s="410">
        <f>F27*0.0204</f>
        <v>4134.1463238240003</v>
      </c>
      <c r="O27" s="1011">
        <f>N27*B27</f>
        <v>0</v>
      </c>
      <c r="P27" s="410">
        <f>F27*0.0185</f>
        <v>3749.1032838599999</v>
      </c>
      <c r="Q27" s="1011">
        <f>P27*B27</f>
        <v>0</v>
      </c>
    </row>
    <row r="28" spans="1:19" s="180" customFormat="1" ht="13.5" customHeight="1" thickBot="1">
      <c r="A28" s="1307"/>
      <c r="B28" s="1309"/>
      <c r="C28" s="411" t="s">
        <v>424</v>
      </c>
      <c r="D28" s="412" t="s">
        <v>57</v>
      </c>
      <c r="E28" s="413">
        <v>259</v>
      </c>
      <c r="F28" s="306" t="s">
        <v>35</v>
      </c>
      <c r="G28" s="1310"/>
      <c r="H28" s="306" t="s">
        <v>35</v>
      </c>
      <c r="I28" s="1310"/>
      <c r="J28" s="306" t="s">
        <v>35</v>
      </c>
      <c r="K28" s="1310"/>
      <c r="L28" s="301" t="s">
        <v>35</v>
      </c>
      <c r="M28" s="1311"/>
      <c r="N28" s="301" t="s">
        <v>35</v>
      </c>
      <c r="O28" s="1299"/>
      <c r="P28" s="301" t="s">
        <v>35</v>
      </c>
      <c r="Q28" s="1299"/>
    </row>
    <row r="29" spans="1:19" s="180" customFormat="1" ht="12.6" customHeight="1" thickBot="1">
      <c r="A29" s="1300" t="s">
        <v>59</v>
      </c>
      <c r="B29" s="1301"/>
      <c r="C29" s="1301"/>
      <c r="D29" s="1301"/>
      <c r="E29" s="1301"/>
      <c r="F29" s="1301"/>
      <c r="G29" s="1301"/>
      <c r="H29" s="1301"/>
      <c r="I29" s="1301"/>
      <c r="J29" s="1301"/>
      <c r="K29" s="1301"/>
      <c r="L29" s="1301"/>
      <c r="M29" s="1301"/>
      <c r="N29" s="1301"/>
      <c r="O29" s="1301"/>
      <c r="P29" s="1301"/>
      <c r="Q29" s="1302"/>
      <c r="R29" s="415"/>
      <c r="S29" s="415"/>
    </row>
    <row r="30" spans="1:19" s="180" customFormat="1" ht="13.5" thickBot="1">
      <c r="A30" s="1327"/>
      <c r="B30" s="431"/>
      <c r="C30" s="800" t="s">
        <v>1398</v>
      </c>
      <c r="D30" s="949" t="s">
        <v>4002</v>
      </c>
      <c r="E30" s="962">
        <v>3439.8</v>
      </c>
      <c r="F30" s="434">
        <f t="shared" ref="F30:F103" si="0">E30*(1-45%)</f>
        <v>1891.8900000000003</v>
      </c>
      <c r="G30" s="10">
        <f t="shared" ref="G30:G103" si="1">F30*B30</f>
        <v>0</v>
      </c>
      <c r="H30" s="11">
        <f t="shared" ref="H30:H103" si="2">F30*0.03137</f>
        <v>59.348589300000015</v>
      </c>
      <c r="I30" s="11">
        <f t="shared" ref="I30:I103" si="3">H30*B30</f>
        <v>0</v>
      </c>
      <c r="J30" s="11">
        <f t="shared" ref="J30:J103" si="4">F30*0.0274</f>
        <v>51.837786000000008</v>
      </c>
      <c r="K30" s="11">
        <f t="shared" ref="K30:K103" si="5">J30*B30</f>
        <v>0</v>
      </c>
      <c r="L30" s="11">
        <f t="shared" ref="L30:L103" si="6">F30*0.0228</f>
        <v>43.135092000000007</v>
      </c>
      <c r="M30" s="11">
        <f t="shared" ref="M30:M103" si="7">L30*B30</f>
        <v>0</v>
      </c>
      <c r="N30" s="11">
        <f t="shared" ref="N30:N103" si="8">F30*0.0204</f>
        <v>38.594556000000011</v>
      </c>
      <c r="O30" s="11">
        <f t="shared" ref="O30:O103" si="9">N30*B30</f>
        <v>0</v>
      </c>
      <c r="P30" s="11">
        <f t="shared" ref="P30:P103" si="10">H30*0.0185</f>
        <v>1.0979489020500002</v>
      </c>
      <c r="Q30" s="11">
        <f t="shared" ref="Q30:Q103" si="11">P30*B30</f>
        <v>0</v>
      </c>
      <c r="R30" s="415"/>
      <c r="S30" s="415"/>
    </row>
    <row r="31" spans="1:19" s="180" customFormat="1" ht="13.5" thickBot="1">
      <c r="A31" s="1328"/>
      <c r="B31" s="416"/>
      <c r="C31" s="797" t="s">
        <v>1177</v>
      </c>
      <c r="D31" s="960" t="s">
        <v>3979</v>
      </c>
      <c r="E31" s="172">
        <v>499</v>
      </c>
      <c r="F31" s="8">
        <f t="shared" si="0"/>
        <v>274.45000000000005</v>
      </c>
      <c r="G31" s="9">
        <f t="shared" si="1"/>
        <v>0</v>
      </c>
      <c r="H31" s="52">
        <f t="shared" si="2"/>
        <v>8.6094965000000023</v>
      </c>
      <c r="I31" s="11">
        <f t="shared" si="3"/>
        <v>0</v>
      </c>
      <c r="J31" s="11">
        <f t="shared" si="4"/>
        <v>7.5199300000000013</v>
      </c>
      <c r="K31" s="11">
        <f t="shared" si="5"/>
        <v>0</v>
      </c>
      <c r="L31" s="11">
        <f t="shared" si="6"/>
        <v>6.2574600000000009</v>
      </c>
      <c r="M31" s="11">
        <f t="shared" si="7"/>
        <v>0</v>
      </c>
      <c r="N31" s="11">
        <f t="shared" si="8"/>
        <v>5.5987800000000014</v>
      </c>
      <c r="O31" s="11">
        <f t="shared" si="9"/>
        <v>0</v>
      </c>
      <c r="P31" s="11">
        <f t="shared" si="10"/>
        <v>0.15927568525000005</v>
      </c>
      <c r="Q31" s="11">
        <f t="shared" si="11"/>
        <v>0</v>
      </c>
      <c r="R31" s="415"/>
      <c r="S31" s="415"/>
    </row>
    <row r="32" spans="1:19" s="180" customFormat="1" ht="13.5" thickBot="1">
      <c r="A32" s="1328"/>
      <c r="B32" s="416"/>
      <c r="C32" s="797" t="s">
        <v>4022</v>
      </c>
      <c r="D32" s="960" t="s">
        <v>4023</v>
      </c>
      <c r="E32" s="172">
        <v>1945</v>
      </c>
      <c r="F32" s="8">
        <f t="shared" si="0"/>
        <v>1069.75</v>
      </c>
      <c r="G32" s="9">
        <f t="shared" si="1"/>
        <v>0</v>
      </c>
      <c r="H32" s="52">
        <f t="shared" si="2"/>
        <v>33.558057500000004</v>
      </c>
      <c r="I32" s="11">
        <f t="shared" si="3"/>
        <v>0</v>
      </c>
      <c r="J32" s="11">
        <f t="shared" si="4"/>
        <v>29.311150000000001</v>
      </c>
      <c r="K32" s="11">
        <f t="shared" si="5"/>
        <v>0</v>
      </c>
      <c r="L32" s="11">
        <f t="shared" si="6"/>
        <v>24.3903</v>
      </c>
      <c r="M32" s="11">
        <f t="shared" si="7"/>
        <v>0</v>
      </c>
      <c r="N32" s="11">
        <f t="shared" si="8"/>
        <v>21.822900000000001</v>
      </c>
      <c r="O32" s="11">
        <f t="shared" si="9"/>
        <v>0</v>
      </c>
      <c r="P32" s="11">
        <f t="shared" si="10"/>
        <v>0.62082406374999999</v>
      </c>
      <c r="Q32" s="11">
        <f t="shared" si="11"/>
        <v>0</v>
      </c>
      <c r="R32" s="415"/>
      <c r="S32" s="415"/>
    </row>
    <row r="33" spans="1:19" s="180" customFormat="1" ht="13.5" thickBot="1">
      <c r="A33" s="1328"/>
      <c r="B33" s="416"/>
      <c r="C33" s="173" t="s">
        <v>4024</v>
      </c>
      <c r="D33" s="960" t="s">
        <v>4025</v>
      </c>
      <c r="E33" s="172">
        <v>5708.58</v>
      </c>
      <c r="F33" s="8">
        <f t="shared" si="0"/>
        <v>3139.7190000000001</v>
      </c>
      <c r="G33" s="9">
        <f t="shared" si="1"/>
        <v>0</v>
      </c>
      <c r="H33" s="52">
        <f t="shared" si="2"/>
        <v>98.492985030000014</v>
      </c>
      <c r="I33" s="11">
        <f t="shared" si="3"/>
        <v>0</v>
      </c>
      <c r="J33" s="11">
        <f t="shared" si="4"/>
        <v>86.028300600000009</v>
      </c>
      <c r="K33" s="11">
        <f t="shared" si="5"/>
        <v>0</v>
      </c>
      <c r="L33" s="11">
        <f t="shared" si="6"/>
        <v>71.585593200000005</v>
      </c>
      <c r="M33" s="11">
        <f t="shared" si="7"/>
        <v>0</v>
      </c>
      <c r="N33" s="11">
        <f t="shared" si="8"/>
        <v>64.050267600000012</v>
      </c>
      <c r="O33" s="11">
        <f t="shared" si="9"/>
        <v>0</v>
      </c>
      <c r="P33" s="11">
        <f t="shared" si="10"/>
        <v>1.8221202230550002</v>
      </c>
      <c r="Q33" s="11">
        <f t="shared" si="11"/>
        <v>0</v>
      </c>
      <c r="R33" s="415"/>
      <c r="S33" s="415"/>
    </row>
    <row r="34" spans="1:19" s="180" customFormat="1" ht="13.5" thickBot="1">
      <c r="A34" s="1328"/>
      <c r="B34" s="416"/>
      <c r="C34" s="173" t="s">
        <v>3980</v>
      </c>
      <c r="D34" s="960" t="s">
        <v>3981</v>
      </c>
      <c r="E34" s="172">
        <v>5000</v>
      </c>
      <c r="F34" s="8">
        <f t="shared" si="0"/>
        <v>2750</v>
      </c>
      <c r="G34" s="9">
        <f t="shared" si="1"/>
        <v>0</v>
      </c>
      <c r="H34" s="52">
        <f t="shared" si="2"/>
        <v>86.267500000000013</v>
      </c>
      <c r="I34" s="11">
        <f t="shared" si="3"/>
        <v>0</v>
      </c>
      <c r="J34" s="11">
        <f t="shared" si="4"/>
        <v>75.350000000000009</v>
      </c>
      <c r="K34" s="11">
        <f t="shared" si="5"/>
        <v>0</v>
      </c>
      <c r="L34" s="11">
        <f t="shared" si="6"/>
        <v>62.7</v>
      </c>
      <c r="M34" s="11">
        <f t="shared" si="7"/>
        <v>0</v>
      </c>
      <c r="N34" s="11">
        <f t="shared" si="8"/>
        <v>56.1</v>
      </c>
      <c r="O34" s="11">
        <f t="shared" si="9"/>
        <v>0</v>
      </c>
      <c r="P34" s="11">
        <f t="shared" si="10"/>
        <v>1.5959487500000002</v>
      </c>
      <c r="Q34" s="11">
        <f t="shared" si="11"/>
        <v>0</v>
      </c>
      <c r="R34" s="415"/>
      <c r="S34" s="415"/>
    </row>
    <row r="35" spans="1:19" s="180" customFormat="1" ht="13.5" thickBot="1">
      <c r="A35" s="1328"/>
      <c r="B35" s="416"/>
      <c r="C35" s="173" t="s">
        <v>4111</v>
      </c>
      <c r="D35" s="960" t="s">
        <v>4112</v>
      </c>
      <c r="E35" s="172">
        <v>19037.900000000001</v>
      </c>
      <c r="F35" s="8">
        <f t="shared" si="0"/>
        <v>10470.845000000001</v>
      </c>
      <c r="G35" s="9">
        <f t="shared" si="1"/>
        <v>0</v>
      </c>
      <c r="H35" s="52">
        <f t="shared" si="2"/>
        <v>328.47040765000008</v>
      </c>
      <c r="I35" s="11">
        <f t="shared" si="3"/>
        <v>0</v>
      </c>
      <c r="J35" s="11">
        <f t="shared" si="4"/>
        <v>286.90115300000002</v>
      </c>
      <c r="K35" s="11">
        <f t="shared" si="5"/>
        <v>0</v>
      </c>
      <c r="L35" s="11">
        <f t="shared" si="6"/>
        <v>238.73526600000002</v>
      </c>
      <c r="M35" s="11">
        <f t="shared" si="7"/>
        <v>0</v>
      </c>
      <c r="N35" s="11">
        <f t="shared" si="8"/>
        <v>213.60523800000004</v>
      </c>
      <c r="O35" s="11">
        <f t="shared" si="9"/>
        <v>0</v>
      </c>
      <c r="P35" s="11">
        <f t="shared" si="10"/>
        <v>6.0767025415250009</v>
      </c>
      <c r="Q35" s="11">
        <f t="shared" si="11"/>
        <v>0</v>
      </c>
      <c r="R35" s="415"/>
      <c r="S35" s="415"/>
    </row>
    <row r="36" spans="1:19" s="180" customFormat="1" ht="13.5" thickBot="1">
      <c r="A36" s="1328"/>
      <c r="B36" s="416"/>
      <c r="C36" s="297" t="s">
        <v>105</v>
      </c>
      <c r="D36" s="575" t="s">
        <v>325</v>
      </c>
      <c r="E36" s="177">
        <v>399</v>
      </c>
      <c r="F36" s="8">
        <f t="shared" si="0"/>
        <v>219.45000000000002</v>
      </c>
      <c r="G36" s="9">
        <f t="shared" si="1"/>
        <v>0</v>
      </c>
      <c r="H36" s="52">
        <f t="shared" si="2"/>
        <v>6.8841465000000008</v>
      </c>
      <c r="I36" s="11">
        <f t="shared" si="3"/>
        <v>0</v>
      </c>
      <c r="J36" s="11">
        <f t="shared" si="4"/>
        <v>6.0129300000000008</v>
      </c>
      <c r="K36" s="11">
        <f t="shared" si="5"/>
        <v>0</v>
      </c>
      <c r="L36" s="11">
        <f t="shared" si="6"/>
        <v>5.0034600000000005</v>
      </c>
      <c r="M36" s="11">
        <f t="shared" si="7"/>
        <v>0</v>
      </c>
      <c r="N36" s="11">
        <f t="shared" si="8"/>
        <v>4.4767800000000006</v>
      </c>
      <c r="O36" s="11">
        <f t="shared" si="9"/>
        <v>0</v>
      </c>
      <c r="P36" s="11">
        <f t="shared" si="10"/>
        <v>0.12735671025</v>
      </c>
      <c r="Q36" s="11">
        <f t="shared" si="11"/>
        <v>0</v>
      </c>
      <c r="R36" s="415"/>
      <c r="S36" s="415"/>
    </row>
    <row r="37" spans="1:19" s="180" customFormat="1" ht="13.5" thickBot="1">
      <c r="A37" s="1328"/>
      <c r="B37" s="416"/>
      <c r="C37" s="297" t="s">
        <v>3982</v>
      </c>
      <c r="D37" s="575" t="s">
        <v>3983</v>
      </c>
      <c r="E37" s="177">
        <v>2800</v>
      </c>
      <c r="F37" s="8">
        <f t="shared" si="0"/>
        <v>1540.0000000000002</v>
      </c>
      <c r="G37" s="10">
        <f t="shared" si="1"/>
        <v>0</v>
      </c>
      <c r="H37" s="11">
        <f t="shared" si="2"/>
        <v>48.30980000000001</v>
      </c>
      <c r="I37" s="11">
        <f t="shared" si="3"/>
        <v>0</v>
      </c>
      <c r="J37" s="11">
        <f t="shared" si="4"/>
        <v>42.196000000000005</v>
      </c>
      <c r="K37" s="11">
        <f t="shared" si="5"/>
        <v>0</v>
      </c>
      <c r="L37" s="11">
        <f t="shared" si="6"/>
        <v>35.112000000000009</v>
      </c>
      <c r="M37" s="11">
        <f t="shared" si="7"/>
        <v>0</v>
      </c>
      <c r="N37" s="11">
        <f t="shared" si="8"/>
        <v>31.416000000000007</v>
      </c>
      <c r="O37" s="11">
        <f t="shared" si="9"/>
        <v>0</v>
      </c>
      <c r="P37" s="11">
        <f t="shared" si="10"/>
        <v>0.89373130000000012</v>
      </c>
      <c r="Q37" s="11">
        <f t="shared" si="11"/>
        <v>0</v>
      </c>
      <c r="R37" s="415"/>
      <c r="S37" s="415"/>
    </row>
    <row r="38" spans="1:19" s="180" customFormat="1" ht="13.5" thickBot="1">
      <c r="A38" s="1328"/>
      <c r="B38" s="416"/>
      <c r="C38" s="297" t="s">
        <v>1399</v>
      </c>
      <c r="D38" s="575" t="s">
        <v>4036</v>
      </c>
      <c r="E38" s="177">
        <v>3691.29</v>
      </c>
      <c r="F38" s="8">
        <f t="shared" si="0"/>
        <v>2030.2095000000002</v>
      </c>
      <c r="G38" s="9">
        <f t="shared" si="1"/>
        <v>0</v>
      </c>
      <c r="H38" s="52">
        <f t="shared" si="2"/>
        <v>63.687672015000011</v>
      </c>
      <c r="I38" s="11">
        <f t="shared" si="3"/>
        <v>0</v>
      </c>
      <c r="J38" s="11">
        <f t="shared" si="4"/>
        <v>55.627740300000006</v>
      </c>
      <c r="K38" s="11">
        <f t="shared" si="5"/>
        <v>0</v>
      </c>
      <c r="L38" s="11">
        <f t="shared" si="6"/>
        <v>46.288776600000006</v>
      </c>
      <c r="M38" s="11">
        <f t="shared" si="7"/>
        <v>0</v>
      </c>
      <c r="N38" s="11">
        <f t="shared" si="8"/>
        <v>41.416273800000006</v>
      </c>
      <c r="O38" s="11">
        <f t="shared" si="9"/>
        <v>0</v>
      </c>
      <c r="P38" s="11">
        <f t="shared" si="10"/>
        <v>1.1782219322775001</v>
      </c>
      <c r="Q38" s="11">
        <f t="shared" si="11"/>
        <v>0</v>
      </c>
      <c r="R38" s="415"/>
      <c r="S38" s="415"/>
    </row>
    <row r="39" spans="1:19" s="180" customFormat="1" ht="13.5" thickBot="1">
      <c r="A39" s="1328"/>
      <c r="B39" s="416"/>
      <c r="C39" s="297" t="s">
        <v>4003</v>
      </c>
      <c r="D39" s="575" t="s">
        <v>4004</v>
      </c>
      <c r="E39" s="177">
        <v>5000</v>
      </c>
      <c r="F39" s="8">
        <f t="shared" ref="F39:F48" si="12">E39*(1-45%)</f>
        <v>2750</v>
      </c>
      <c r="G39" s="9">
        <f t="shared" ref="G39:G48" si="13">F39*B39</f>
        <v>0</v>
      </c>
      <c r="H39" s="52">
        <f t="shared" ref="H39:H48" si="14">F39*0.03137</f>
        <v>86.267500000000013</v>
      </c>
      <c r="I39" s="11">
        <f t="shared" ref="I39:I48" si="15">H39*B39</f>
        <v>0</v>
      </c>
      <c r="J39" s="11">
        <f t="shared" ref="J39:J48" si="16">F39*0.0274</f>
        <v>75.350000000000009</v>
      </c>
      <c r="K39" s="11">
        <f t="shared" ref="K39:K48" si="17">J39*B39</f>
        <v>0</v>
      </c>
      <c r="L39" s="11">
        <f t="shared" ref="L39:L48" si="18">F39*0.0228</f>
        <v>62.7</v>
      </c>
      <c r="M39" s="11">
        <f t="shared" ref="M39:M48" si="19">L39*B39</f>
        <v>0</v>
      </c>
      <c r="N39" s="11">
        <f t="shared" ref="N39:N48" si="20">F39*0.0204</f>
        <v>56.1</v>
      </c>
      <c r="O39" s="11">
        <f t="shared" ref="O39:O48" si="21">N39*B39</f>
        <v>0</v>
      </c>
      <c r="P39" s="11">
        <f t="shared" ref="P39:P48" si="22">H39*0.0185</f>
        <v>1.5959487500000002</v>
      </c>
      <c r="Q39" s="11">
        <f t="shared" ref="Q39:Q48" si="23">P39*B39</f>
        <v>0</v>
      </c>
      <c r="R39" s="415"/>
      <c r="S39" s="415"/>
    </row>
    <row r="40" spans="1:19" s="180" customFormat="1" ht="13.5" thickBot="1">
      <c r="A40" s="1328"/>
      <c r="B40" s="416"/>
      <c r="C40" s="297" t="s">
        <v>1193</v>
      </c>
      <c r="D40" s="575" t="s">
        <v>1194</v>
      </c>
      <c r="E40" s="177">
        <v>13953.14</v>
      </c>
      <c r="F40" s="8">
        <f t="shared" si="12"/>
        <v>7674.2269999999999</v>
      </c>
      <c r="G40" s="9">
        <f t="shared" si="13"/>
        <v>0</v>
      </c>
      <c r="H40" s="52">
        <f t="shared" si="14"/>
        <v>240.74050099000002</v>
      </c>
      <c r="I40" s="11">
        <f t="shared" si="15"/>
        <v>0</v>
      </c>
      <c r="J40" s="11">
        <f t="shared" si="16"/>
        <v>210.27381980000001</v>
      </c>
      <c r="K40" s="11">
        <f t="shared" si="17"/>
        <v>0</v>
      </c>
      <c r="L40" s="11">
        <f t="shared" si="18"/>
        <v>174.97237559999999</v>
      </c>
      <c r="M40" s="11">
        <f t="shared" si="19"/>
        <v>0</v>
      </c>
      <c r="N40" s="11">
        <f t="shared" si="20"/>
        <v>156.5542308</v>
      </c>
      <c r="O40" s="11">
        <f t="shared" si="21"/>
        <v>0</v>
      </c>
      <c r="P40" s="11">
        <f t="shared" si="22"/>
        <v>4.4536992683149998</v>
      </c>
      <c r="Q40" s="11">
        <f t="shared" si="23"/>
        <v>0</v>
      </c>
      <c r="R40" s="415"/>
      <c r="S40" s="415"/>
    </row>
    <row r="41" spans="1:19" s="180" customFormat="1" ht="13.5" thickBot="1">
      <c r="A41" s="1328"/>
      <c r="B41" s="416"/>
      <c r="C41" s="297" t="s">
        <v>1197</v>
      </c>
      <c r="D41" s="575" t="s">
        <v>4096</v>
      </c>
      <c r="E41" s="177">
        <v>4436.03</v>
      </c>
      <c r="F41" s="8">
        <f t="shared" si="12"/>
        <v>2439.8164999999999</v>
      </c>
      <c r="G41" s="9">
        <f t="shared" si="13"/>
        <v>0</v>
      </c>
      <c r="H41" s="52">
        <f t="shared" si="14"/>
        <v>76.537043605000008</v>
      </c>
      <c r="I41" s="11">
        <f t="shared" si="15"/>
        <v>0</v>
      </c>
      <c r="J41" s="11">
        <f t="shared" si="16"/>
        <v>66.850972099999993</v>
      </c>
      <c r="K41" s="11">
        <f t="shared" si="17"/>
        <v>0</v>
      </c>
      <c r="L41" s="11">
        <f t="shared" si="18"/>
        <v>55.627816199999998</v>
      </c>
      <c r="M41" s="11">
        <f t="shared" si="19"/>
        <v>0</v>
      </c>
      <c r="N41" s="11">
        <f t="shared" si="20"/>
        <v>49.772256599999999</v>
      </c>
      <c r="O41" s="11">
        <f t="shared" si="21"/>
        <v>0</v>
      </c>
      <c r="P41" s="11">
        <f t="shared" si="22"/>
        <v>1.4159353066925</v>
      </c>
      <c r="Q41" s="11">
        <f t="shared" si="23"/>
        <v>0</v>
      </c>
      <c r="R41" s="415"/>
      <c r="S41" s="415"/>
    </row>
    <row r="42" spans="1:19" s="180" customFormat="1" ht="13.5" thickBot="1">
      <c r="A42" s="1328"/>
      <c r="B42" s="416"/>
      <c r="C42" s="297" t="s">
        <v>1195</v>
      </c>
      <c r="D42" s="575" t="s">
        <v>1196</v>
      </c>
      <c r="E42" s="177">
        <v>3699.7</v>
      </c>
      <c r="F42" s="8">
        <f t="shared" si="12"/>
        <v>2034.835</v>
      </c>
      <c r="G42" s="9">
        <f t="shared" si="13"/>
        <v>0</v>
      </c>
      <c r="H42" s="52">
        <f t="shared" si="14"/>
        <v>63.832773950000004</v>
      </c>
      <c r="I42" s="11">
        <f t="shared" si="15"/>
        <v>0</v>
      </c>
      <c r="J42" s="11">
        <f t="shared" si="16"/>
        <v>55.754479000000003</v>
      </c>
      <c r="K42" s="11">
        <f t="shared" si="17"/>
        <v>0</v>
      </c>
      <c r="L42" s="11">
        <f t="shared" si="18"/>
        <v>46.394238000000001</v>
      </c>
      <c r="M42" s="11">
        <f t="shared" si="19"/>
        <v>0</v>
      </c>
      <c r="N42" s="11">
        <f t="shared" si="20"/>
        <v>41.510634000000003</v>
      </c>
      <c r="O42" s="11">
        <f t="shared" si="21"/>
        <v>0</v>
      </c>
      <c r="P42" s="11">
        <f t="shared" si="22"/>
        <v>1.1809063180749999</v>
      </c>
      <c r="Q42" s="11">
        <f t="shared" si="23"/>
        <v>0</v>
      </c>
      <c r="R42" s="415"/>
      <c r="S42" s="415"/>
    </row>
    <row r="43" spans="1:19" s="180" customFormat="1" ht="13.5" thickBot="1">
      <c r="A43" s="1328"/>
      <c r="B43" s="416"/>
      <c r="C43" s="297" t="s">
        <v>4037</v>
      </c>
      <c r="D43" s="575" t="s">
        <v>4113</v>
      </c>
      <c r="E43" s="177">
        <v>739.94</v>
      </c>
      <c r="F43" s="8">
        <f t="shared" si="12"/>
        <v>406.96700000000004</v>
      </c>
      <c r="G43" s="9">
        <f t="shared" si="13"/>
        <v>0</v>
      </c>
      <c r="H43" s="52">
        <f t="shared" si="14"/>
        <v>12.766554790000002</v>
      </c>
      <c r="I43" s="11">
        <f t="shared" si="15"/>
        <v>0</v>
      </c>
      <c r="J43" s="11">
        <f t="shared" si="16"/>
        <v>11.150895800000001</v>
      </c>
      <c r="K43" s="11">
        <f t="shared" si="17"/>
        <v>0</v>
      </c>
      <c r="L43" s="11">
        <f t="shared" si="18"/>
        <v>9.2788476000000006</v>
      </c>
      <c r="M43" s="11">
        <f t="shared" si="19"/>
        <v>0</v>
      </c>
      <c r="N43" s="11">
        <f t="shared" si="20"/>
        <v>8.3021268000000017</v>
      </c>
      <c r="O43" s="11">
        <f t="shared" si="21"/>
        <v>0</v>
      </c>
      <c r="P43" s="11">
        <f t="shared" si="22"/>
        <v>0.23618126361500003</v>
      </c>
      <c r="Q43" s="11">
        <f t="shared" si="23"/>
        <v>0</v>
      </c>
      <c r="R43" s="415"/>
      <c r="S43" s="415"/>
    </row>
    <row r="44" spans="1:19" s="180" customFormat="1" ht="13.5" thickBot="1">
      <c r="A44" s="1328"/>
      <c r="B44" s="416"/>
      <c r="C44" s="297" t="s">
        <v>1089</v>
      </c>
      <c r="D44" s="575" t="s">
        <v>1090</v>
      </c>
      <c r="E44" s="177">
        <v>3606.97</v>
      </c>
      <c r="F44" s="8">
        <f t="shared" si="12"/>
        <v>1983.8335</v>
      </c>
      <c r="G44" s="9">
        <f t="shared" si="13"/>
        <v>0</v>
      </c>
      <c r="H44" s="52">
        <f t="shared" si="14"/>
        <v>62.232856895000005</v>
      </c>
      <c r="I44" s="11">
        <f t="shared" si="15"/>
        <v>0</v>
      </c>
      <c r="J44" s="11">
        <f t="shared" si="16"/>
        <v>54.357037900000002</v>
      </c>
      <c r="K44" s="11">
        <f t="shared" si="17"/>
        <v>0</v>
      </c>
      <c r="L44" s="11">
        <f t="shared" si="18"/>
        <v>45.231403800000002</v>
      </c>
      <c r="M44" s="11">
        <f t="shared" si="19"/>
        <v>0</v>
      </c>
      <c r="N44" s="11">
        <f t="shared" si="20"/>
        <v>40.470203400000003</v>
      </c>
      <c r="O44" s="11">
        <f t="shared" si="21"/>
        <v>0</v>
      </c>
      <c r="P44" s="11">
        <f t="shared" si="22"/>
        <v>1.1513078525575</v>
      </c>
      <c r="Q44" s="11">
        <f t="shared" si="23"/>
        <v>0</v>
      </c>
      <c r="R44" s="415"/>
      <c r="S44" s="415"/>
    </row>
    <row r="45" spans="1:19" s="180" customFormat="1" ht="13.5" thickBot="1">
      <c r="A45" s="1328"/>
      <c r="B45" s="416"/>
      <c r="C45" s="297" t="s">
        <v>1069</v>
      </c>
      <c r="D45" s="575" t="s">
        <v>1070</v>
      </c>
      <c r="E45" s="177">
        <v>1701.26</v>
      </c>
      <c r="F45" s="8">
        <f t="shared" si="12"/>
        <v>935.6930000000001</v>
      </c>
      <c r="G45" s="9">
        <f t="shared" si="13"/>
        <v>0</v>
      </c>
      <c r="H45" s="52">
        <f t="shared" si="14"/>
        <v>29.352689410000004</v>
      </c>
      <c r="I45" s="11">
        <f t="shared" si="15"/>
        <v>0</v>
      </c>
      <c r="J45" s="11">
        <f t="shared" si="16"/>
        <v>25.637988200000002</v>
      </c>
      <c r="K45" s="11">
        <f t="shared" si="17"/>
        <v>0</v>
      </c>
      <c r="L45" s="11">
        <f t="shared" si="18"/>
        <v>21.333800400000001</v>
      </c>
      <c r="M45" s="11">
        <f t="shared" si="19"/>
        <v>0</v>
      </c>
      <c r="N45" s="11">
        <f t="shared" si="20"/>
        <v>19.088137200000002</v>
      </c>
      <c r="O45" s="11">
        <f t="shared" si="21"/>
        <v>0</v>
      </c>
      <c r="P45" s="11">
        <f t="shared" si="22"/>
        <v>0.54302475408500006</v>
      </c>
      <c r="Q45" s="11">
        <f t="shared" si="23"/>
        <v>0</v>
      </c>
      <c r="R45" s="415"/>
      <c r="S45" s="415"/>
    </row>
    <row r="46" spans="1:19" s="180" customFormat="1" ht="13.5" thickBot="1">
      <c r="A46" s="1328"/>
      <c r="B46" s="416"/>
      <c r="C46" s="297" t="s">
        <v>1095</v>
      </c>
      <c r="D46" s="575" t="s">
        <v>1096</v>
      </c>
      <c r="E46" s="177">
        <v>4637.54</v>
      </c>
      <c r="F46" s="8">
        <f t="shared" si="12"/>
        <v>2550.6470000000004</v>
      </c>
      <c r="G46" s="9">
        <f t="shared" si="13"/>
        <v>0</v>
      </c>
      <c r="H46" s="52">
        <f t="shared" si="14"/>
        <v>80.013796390000024</v>
      </c>
      <c r="I46" s="11">
        <f t="shared" si="15"/>
        <v>0</v>
      </c>
      <c r="J46" s="11">
        <f t="shared" si="16"/>
        <v>69.887727800000008</v>
      </c>
      <c r="K46" s="11">
        <f t="shared" si="17"/>
        <v>0</v>
      </c>
      <c r="L46" s="11">
        <f t="shared" si="18"/>
        <v>58.154751600000012</v>
      </c>
      <c r="M46" s="11">
        <f t="shared" si="19"/>
        <v>0</v>
      </c>
      <c r="N46" s="11">
        <f t="shared" si="20"/>
        <v>52.033198800000015</v>
      </c>
      <c r="O46" s="11">
        <f t="shared" si="21"/>
        <v>0</v>
      </c>
      <c r="P46" s="11">
        <f t="shared" si="22"/>
        <v>1.4802552332150003</v>
      </c>
      <c r="Q46" s="11">
        <f t="shared" si="23"/>
        <v>0</v>
      </c>
      <c r="R46" s="415"/>
      <c r="S46" s="415"/>
    </row>
    <row r="47" spans="1:19" s="180" customFormat="1" ht="13.5" thickBot="1">
      <c r="A47" s="1328"/>
      <c r="B47" s="416"/>
      <c r="C47" s="297" t="s">
        <v>1083</v>
      </c>
      <c r="D47" s="575" t="s">
        <v>1084</v>
      </c>
      <c r="E47" s="177">
        <v>1422.19</v>
      </c>
      <c r="F47" s="8">
        <f t="shared" si="12"/>
        <v>782.20450000000005</v>
      </c>
      <c r="G47" s="9">
        <f t="shared" si="13"/>
        <v>0</v>
      </c>
      <c r="H47" s="52">
        <f t="shared" si="14"/>
        <v>24.537755165000004</v>
      </c>
      <c r="I47" s="11">
        <f t="shared" si="15"/>
        <v>0</v>
      </c>
      <c r="J47" s="11">
        <f t="shared" si="16"/>
        <v>21.432403300000001</v>
      </c>
      <c r="K47" s="11">
        <f t="shared" si="17"/>
        <v>0</v>
      </c>
      <c r="L47" s="11">
        <f t="shared" si="18"/>
        <v>17.834262600000002</v>
      </c>
      <c r="M47" s="11">
        <f t="shared" si="19"/>
        <v>0</v>
      </c>
      <c r="N47" s="11">
        <f t="shared" si="20"/>
        <v>15.956971800000002</v>
      </c>
      <c r="O47" s="11">
        <f t="shared" si="21"/>
        <v>0</v>
      </c>
      <c r="P47" s="11">
        <f t="shared" si="22"/>
        <v>0.45394847055250004</v>
      </c>
      <c r="Q47" s="11">
        <f t="shared" si="23"/>
        <v>0</v>
      </c>
      <c r="R47" s="415"/>
      <c r="S47" s="415"/>
    </row>
    <row r="48" spans="1:19" s="180" customFormat="1" ht="13.5" thickBot="1">
      <c r="A48" s="1328"/>
      <c r="B48" s="416"/>
      <c r="C48" s="297" t="s">
        <v>1071</v>
      </c>
      <c r="D48" s="575" t="s">
        <v>1072</v>
      </c>
      <c r="E48" s="177">
        <v>1701.26</v>
      </c>
      <c r="F48" s="8">
        <f t="shared" si="12"/>
        <v>935.6930000000001</v>
      </c>
      <c r="G48" s="9">
        <f t="shared" si="13"/>
        <v>0</v>
      </c>
      <c r="H48" s="52">
        <f t="shared" si="14"/>
        <v>29.352689410000004</v>
      </c>
      <c r="I48" s="11">
        <f t="shared" si="15"/>
        <v>0</v>
      </c>
      <c r="J48" s="11">
        <f t="shared" si="16"/>
        <v>25.637988200000002</v>
      </c>
      <c r="K48" s="11">
        <f t="shared" si="17"/>
        <v>0</v>
      </c>
      <c r="L48" s="11">
        <f t="shared" si="18"/>
        <v>21.333800400000001</v>
      </c>
      <c r="M48" s="11">
        <f t="shared" si="19"/>
        <v>0</v>
      </c>
      <c r="N48" s="11">
        <f t="shared" si="20"/>
        <v>19.088137200000002</v>
      </c>
      <c r="O48" s="11">
        <f t="shared" si="21"/>
        <v>0</v>
      </c>
      <c r="P48" s="11">
        <f t="shared" si="22"/>
        <v>0.54302475408500006</v>
      </c>
      <c r="Q48" s="11">
        <f t="shared" si="23"/>
        <v>0</v>
      </c>
      <c r="R48" s="415"/>
      <c r="S48" s="415"/>
    </row>
    <row r="49" spans="1:19" s="175" customFormat="1" ht="13.5" thickBot="1">
      <c r="A49" s="1328"/>
      <c r="B49" s="416"/>
      <c r="C49" s="297" t="s">
        <v>1085</v>
      </c>
      <c r="D49" s="575" t="s">
        <v>1086</v>
      </c>
      <c r="E49" s="177">
        <v>1545.83</v>
      </c>
      <c r="F49" s="8">
        <f t="shared" si="0"/>
        <v>850.20650000000001</v>
      </c>
      <c r="G49" s="9">
        <f t="shared" si="1"/>
        <v>0</v>
      </c>
      <c r="H49" s="52">
        <f t="shared" si="2"/>
        <v>26.670977905000001</v>
      </c>
      <c r="I49" s="11">
        <f t="shared" si="3"/>
        <v>0</v>
      </c>
      <c r="J49" s="11">
        <f t="shared" si="4"/>
        <v>23.295658100000001</v>
      </c>
      <c r="K49" s="11">
        <f t="shared" si="5"/>
        <v>0</v>
      </c>
      <c r="L49" s="11">
        <f t="shared" si="6"/>
        <v>19.384708200000002</v>
      </c>
      <c r="M49" s="11">
        <f t="shared" si="7"/>
        <v>0</v>
      </c>
      <c r="N49" s="11">
        <f t="shared" si="8"/>
        <v>17.344212600000002</v>
      </c>
      <c r="O49" s="11">
        <f t="shared" si="9"/>
        <v>0</v>
      </c>
      <c r="P49" s="11">
        <f t="shared" si="10"/>
        <v>0.49341309124249999</v>
      </c>
      <c r="Q49" s="11">
        <f t="shared" si="11"/>
        <v>0</v>
      </c>
      <c r="R49" s="892"/>
      <c r="S49" s="892"/>
    </row>
    <row r="50" spans="1:19" s="175" customFormat="1" ht="13.5" thickBot="1">
      <c r="A50" s="1328"/>
      <c r="B50" s="416"/>
      <c r="C50" s="297" t="s">
        <v>1073</v>
      </c>
      <c r="D50" s="575" t="s">
        <v>1074</v>
      </c>
      <c r="E50" s="177">
        <v>1701.26</v>
      </c>
      <c r="F50" s="8">
        <f t="shared" si="0"/>
        <v>935.6930000000001</v>
      </c>
      <c r="G50" s="9">
        <f t="shared" si="1"/>
        <v>0</v>
      </c>
      <c r="H50" s="52">
        <f t="shared" si="2"/>
        <v>29.352689410000004</v>
      </c>
      <c r="I50" s="11">
        <f t="shared" si="3"/>
        <v>0</v>
      </c>
      <c r="J50" s="11">
        <f t="shared" si="4"/>
        <v>25.637988200000002</v>
      </c>
      <c r="K50" s="11">
        <f t="shared" si="5"/>
        <v>0</v>
      </c>
      <c r="L50" s="11">
        <f t="shared" si="6"/>
        <v>21.333800400000001</v>
      </c>
      <c r="M50" s="11">
        <f t="shared" si="7"/>
        <v>0</v>
      </c>
      <c r="N50" s="11">
        <f t="shared" si="8"/>
        <v>19.088137200000002</v>
      </c>
      <c r="O50" s="11">
        <f t="shared" si="9"/>
        <v>0</v>
      </c>
      <c r="P50" s="11">
        <f t="shared" si="10"/>
        <v>0.54302475408500006</v>
      </c>
      <c r="Q50" s="11">
        <f t="shared" si="11"/>
        <v>0</v>
      </c>
      <c r="R50" s="892"/>
      <c r="S50" s="892"/>
    </row>
    <row r="51" spans="1:19" s="175" customFormat="1" ht="13.5" thickBot="1">
      <c r="A51" s="1328"/>
      <c r="B51" s="416"/>
      <c r="C51" s="297" t="s">
        <v>1087</v>
      </c>
      <c r="D51" s="575" t="s">
        <v>1088</v>
      </c>
      <c r="E51" s="177">
        <v>1545.83</v>
      </c>
      <c r="F51" s="8">
        <f t="shared" si="0"/>
        <v>850.20650000000001</v>
      </c>
      <c r="G51" s="9">
        <f t="shared" si="1"/>
        <v>0</v>
      </c>
      <c r="H51" s="52">
        <f t="shared" si="2"/>
        <v>26.670977905000001</v>
      </c>
      <c r="I51" s="11">
        <f t="shared" si="3"/>
        <v>0</v>
      </c>
      <c r="J51" s="11">
        <f t="shared" si="4"/>
        <v>23.295658100000001</v>
      </c>
      <c r="K51" s="11">
        <f t="shared" si="5"/>
        <v>0</v>
      </c>
      <c r="L51" s="11">
        <f t="shared" si="6"/>
        <v>19.384708200000002</v>
      </c>
      <c r="M51" s="11">
        <f t="shared" si="7"/>
        <v>0</v>
      </c>
      <c r="N51" s="11">
        <f t="shared" si="8"/>
        <v>17.344212600000002</v>
      </c>
      <c r="O51" s="11">
        <f t="shared" si="9"/>
        <v>0</v>
      </c>
      <c r="P51" s="11">
        <f t="shared" si="10"/>
        <v>0.49341309124249999</v>
      </c>
      <c r="Q51" s="11">
        <f t="shared" si="11"/>
        <v>0</v>
      </c>
      <c r="R51" s="892"/>
      <c r="S51" s="892"/>
    </row>
    <row r="52" spans="1:19" s="180" customFormat="1" ht="13.5" thickBot="1">
      <c r="A52" s="1328"/>
      <c r="B52" s="416"/>
      <c r="C52" s="297" t="s">
        <v>1079</v>
      </c>
      <c r="D52" s="575" t="s">
        <v>1080</v>
      </c>
      <c r="E52" s="177">
        <v>1545.83</v>
      </c>
      <c r="F52" s="8">
        <f t="shared" si="0"/>
        <v>850.20650000000001</v>
      </c>
      <c r="G52" s="9">
        <f t="shared" si="1"/>
        <v>0</v>
      </c>
      <c r="H52" s="52">
        <f t="shared" si="2"/>
        <v>26.670977905000001</v>
      </c>
      <c r="I52" s="11">
        <f t="shared" si="3"/>
        <v>0</v>
      </c>
      <c r="J52" s="11">
        <f t="shared" si="4"/>
        <v>23.295658100000001</v>
      </c>
      <c r="K52" s="11">
        <f t="shared" si="5"/>
        <v>0</v>
      </c>
      <c r="L52" s="11">
        <f t="shared" si="6"/>
        <v>19.384708200000002</v>
      </c>
      <c r="M52" s="11">
        <f t="shared" si="7"/>
        <v>0</v>
      </c>
      <c r="N52" s="11">
        <f t="shared" si="8"/>
        <v>17.344212600000002</v>
      </c>
      <c r="O52" s="11">
        <f t="shared" si="9"/>
        <v>0</v>
      </c>
      <c r="P52" s="11">
        <f t="shared" si="10"/>
        <v>0.49341309124249999</v>
      </c>
      <c r="Q52" s="11">
        <f t="shared" si="11"/>
        <v>0</v>
      </c>
      <c r="R52" s="415"/>
      <c r="S52" s="415"/>
    </row>
    <row r="53" spans="1:19" s="180" customFormat="1" ht="13.5" thickBot="1">
      <c r="A53" s="1328"/>
      <c r="B53" s="416"/>
      <c r="C53" s="797" t="s">
        <v>1075</v>
      </c>
      <c r="D53" s="960" t="s">
        <v>1076</v>
      </c>
      <c r="E53" s="172">
        <v>1545.83</v>
      </c>
      <c r="F53" s="8">
        <f t="shared" si="0"/>
        <v>850.20650000000001</v>
      </c>
      <c r="G53" s="9">
        <f t="shared" si="1"/>
        <v>0</v>
      </c>
      <c r="H53" s="52">
        <f t="shared" si="2"/>
        <v>26.670977905000001</v>
      </c>
      <c r="I53" s="11">
        <f t="shared" si="3"/>
        <v>0</v>
      </c>
      <c r="J53" s="11">
        <f t="shared" si="4"/>
        <v>23.295658100000001</v>
      </c>
      <c r="K53" s="11">
        <f t="shared" si="5"/>
        <v>0</v>
      </c>
      <c r="L53" s="11">
        <f t="shared" si="6"/>
        <v>19.384708200000002</v>
      </c>
      <c r="M53" s="11">
        <f t="shared" si="7"/>
        <v>0</v>
      </c>
      <c r="N53" s="11">
        <f t="shared" si="8"/>
        <v>17.344212600000002</v>
      </c>
      <c r="O53" s="11">
        <f t="shared" si="9"/>
        <v>0</v>
      </c>
      <c r="P53" s="11">
        <f t="shared" si="10"/>
        <v>0.49341309124249999</v>
      </c>
      <c r="Q53" s="11">
        <f t="shared" si="11"/>
        <v>0</v>
      </c>
      <c r="R53" s="415"/>
      <c r="S53" s="415"/>
    </row>
    <row r="54" spans="1:19" s="180" customFormat="1" ht="13.5" thickBot="1">
      <c r="A54" s="1328"/>
      <c r="B54" s="416"/>
      <c r="C54" s="297" t="s">
        <v>1097</v>
      </c>
      <c r="D54" s="575" t="s">
        <v>1098</v>
      </c>
      <c r="E54" s="177">
        <v>2679.44</v>
      </c>
      <c r="F54" s="8">
        <f t="shared" si="0"/>
        <v>1473.6920000000002</v>
      </c>
      <c r="G54" s="10">
        <f t="shared" si="1"/>
        <v>0</v>
      </c>
      <c r="H54" s="11">
        <f t="shared" si="2"/>
        <v>46.229718040000009</v>
      </c>
      <c r="I54" s="11">
        <f t="shared" si="3"/>
        <v>0</v>
      </c>
      <c r="J54" s="11">
        <f t="shared" si="4"/>
        <v>40.379160800000008</v>
      </c>
      <c r="K54" s="11">
        <f t="shared" si="5"/>
        <v>0</v>
      </c>
      <c r="L54" s="11">
        <f t="shared" si="6"/>
        <v>33.600177600000009</v>
      </c>
      <c r="M54" s="11">
        <f t="shared" si="7"/>
        <v>0</v>
      </c>
      <c r="N54" s="11">
        <f t="shared" si="8"/>
        <v>30.063316800000006</v>
      </c>
      <c r="O54" s="11">
        <f t="shared" si="9"/>
        <v>0</v>
      </c>
      <c r="P54" s="11">
        <f t="shared" si="10"/>
        <v>0.85524978374000016</v>
      </c>
      <c r="Q54" s="11">
        <f t="shared" si="11"/>
        <v>0</v>
      </c>
      <c r="R54" s="415"/>
      <c r="S54" s="415"/>
    </row>
    <row r="55" spans="1:19" s="180" customFormat="1" ht="13.5" thickBot="1">
      <c r="A55" s="1328"/>
      <c r="B55" s="416"/>
      <c r="C55" s="797" t="s">
        <v>1077</v>
      </c>
      <c r="D55" s="960" t="s">
        <v>1078</v>
      </c>
      <c r="E55" s="172">
        <v>1545.83</v>
      </c>
      <c r="F55" s="8">
        <f t="shared" si="0"/>
        <v>850.20650000000001</v>
      </c>
      <c r="G55" s="10">
        <f t="shared" si="1"/>
        <v>0</v>
      </c>
      <c r="H55" s="11">
        <f t="shared" si="2"/>
        <v>26.670977905000001</v>
      </c>
      <c r="I55" s="11">
        <f t="shared" si="3"/>
        <v>0</v>
      </c>
      <c r="J55" s="11">
        <f t="shared" si="4"/>
        <v>23.295658100000001</v>
      </c>
      <c r="K55" s="11">
        <f t="shared" si="5"/>
        <v>0</v>
      </c>
      <c r="L55" s="11">
        <f t="shared" si="6"/>
        <v>19.384708200000002</v>
      </c>
      <c r="M55" s="11">
        <f t="shared" si="7"/>
        <v>0</v>
      </c>
      <c r="N55" s="11">
        <f t="shared" si="8"/>
        <v>17.344212600000002</v>
      </c>
      <c r="O55" s="11">
        <f t="shared" si="9"/>
        <v>0</v>
      </c>
      <c r="P55" s="11">
        <f t="shared" si="10"/>
        <v>0.49341309124249999</v>
      </c>
      <c r="Q55" s="11">
        <f t="shared" si="11"/>
        <v>0</v>
      </c>
      <c r="R55" s="415"/>
      <c r="S55" s="415"/>
    </row>
    <row r="56" spans="1:19" s="180" customFormat="1" ht="13.5" thickBot="1">
      <c r="A56" s="1328"/>
      <c r="B56" s="416"/>
      <c r="C56" s="297" t="s">
        <v>1099</v>
      </c>
      <c r="D56" s="575" t="s">
        <v>1100</v>
      </c>
      <c r="E56" s="177">
        <v>5152.8100000000004</v>
      </c>
      <c r="F56" s="8">
        <f t="shared" si="0"/>
        <v>2834.0455000000006</v>
      </c>
      <c r="G56" s="10">
        <f t="shared" si="1"/>
        <v>0</v>
      </c>
      <c r="H56" s="11">
        <f t="shared" si="2"/>
        <v>88.904007335000031</v>
      </c>
      <c r="I56" s="11">
        <f t="shared" si="3"/>
        <v>0</v>
      </c>
      <c r="J56" s="11">
        <f t="shared" si="4"/>
        <v>77.652846700000026</v>
      </c>
      <c r="K56" s="11">
        <f t="shared" si="5"/>
        <v>0</v>
      </c>
      <c r="L56" s="11">
        <f t="shared" si="6"/>
        <v>64.616237400000017</v>
      </c>
      <c r="M56" s="11">
        <f t="shared" si="7"/>
        <v>0</v>
      </c>
      <c r="N56" s="11">
        <f t="shared" si="8"/>
        <v>57.814528200000019</v>
      </c>
      <c r="O56" s="11">
        <f t="shared" si="9"/>
        <v>0</v>
      </c>
      <c r="P56" s="11">
        <f t="shared" si="10"/>
        <v>1.6447241356975004</v>
      </c>
      <c r="Q56" s="11">
        <f t="shared" si="11"/>
        <v>0</v>
      </c>
      <c r="R56" s="415"/>
      <c r="S56" s="415"/>
    </row>
    <row r="57" spans="1:19" s="180" customFormat="1" ht="13.5" thickBot="1">
      <c r="A57" s="1328"/>
      <c r="B57" s="416"/>
      <c r="C57" s="891" t="s">
        <v>1091</v>
      </c>
      <c r="D57" s="575" t="s">
        <v>1092</v>
      </c>
      <c r="E57" s="177">
        <v>1648.89</v>
      </c>
      <c r="F57" s="8">
        <f t="shared" si="0"/>
        <v>906.88950000000011</v>
      </c>
      <c r="G57" s="10">
        <f t="shared" si="1"/>
        <v>0</v>
      </c>
      <c r="H57" s="11">
        <f t="shared" si="2"/>
        <v>28.449123615000005</v>
      </c>
      <c r="I57" s="11">
        <f t="shared" si="3"/>
        <v>0</v>
      </c>
      <c r="J57" s="11">
        <f t="shared" si="4"/>
        <v>24.848772300000004</v>
      </c>
      <c r="K57" s="11">
        <f t="shared" si="5"/>
        <v>0</v>
      </c>
      <c r="L57" s="11">
        <f t="shared" si="6"/>
        <v>20.677080600000004</v>
      </c>
      <c r="M57" s="11">
        <f t="shared" si="7"/>
        <v>0</v>
      </c>
      <c r="N57" s="11">
        <f t="shared" si="8"/>
        <v>18.500545800000005</v>
      </c>
      <c r="O57" s="11">
        <f t="shared" si="9"/>
        <v>0</v>
      </c>
      <c r="P57" s="11">
        <f t="shared" si="10"/>
        <v>0.52630878687750005</v>
      </c>
      <c r="Q57" s="11">
        <f t="shared" si="11"/>
        <v>0</v>
      </c>
      <c r="R57" s="415"/>
      <c r="S57" s="415"/>
    </row>
    <row r="58" spans="1:19" s="180" customFormat="1" ht="13.5" thickBot="1">
      <c r="A58" s="1328"/>
      <c r="B58" s="416"/>
      <c r="C58" s="297" t="s">
        <v>1093</v>
      </c>
      <c r="D58" s="575" t="s">
        <v>1094</v>
      </c>
      <c r="E58" s="177">
        <v>1648.89</v>
      </c>
      <c r="F58" s="8">
        <f t="shared" si="0"/>
        <v>906.88950000000011</v>
      </c>
      <c r="G58" s="10">
        <f t="shared" si="1"/>
        <v>0</v>
      </c>
      <c r="H58" s="11">
        <f t="shared" si="2"/>
        <v>28.449123615000005</v>
      </c>
      <c r="I58" s="11">
        <f t="shared" si="3"/>
        <v>0</v>
      </c>
      <c r="J58" s="11">
        <f t="shared" si="4"/>
        <v>24.848772300000004</v>
      </c>
      <c r="K58" s="11">
        <f t="shared" si="5"/>
        <v>0</v>
      </c>
      <c r="L58" s="11">
        <f t="shared" si="6"/>
        <v>20.677080600000004</v>
      </c>
      <c r="M58" s="11">
        <f t="shared" si="7"/>
        <v>0</v>
      </c>
      <c r="N58" s="11">
        <f t="shared" si="8"/>
        <v>18.500545800000005</v>
      </c>
      <c r="O58" s="11">
        <f t="shared" si="9"/>
        <v>0</v>
      </c>
      <c r="P58" s="11">
        <f t="shared" si="10"/>
        <v>0.52630878687750005</v>
      </c>
      <c r="Q58" s="11">
        <f t="shared" si="11"/>
        <v>0</v>
      </c>
      <c r="R58" s="415"/>
      <c r="S58" s="415"/>
    </row>
    <row r="59" spans="1:19" s="180" customFormat="1" ht="13.5" thickBot="1">
      <c r="A59" s="1328"/>
      <c r="B59" s="416"/>
      <c r="C59" s="297" t="s">
        <v>1161</v>
      </c>
      <c r="D59" s="575" t="s">
        <v>1162</v>
      </c>
      <c r="E59" s="177">
        <v>4159.99</v>
      </c>
      <c r="F59" s="8">
        <f t="shared" si="0"/>
        <v>2287.9945000000002</v>
      </c>
      <c r="G59" s="10">
        <f t="shared" si="1"/>
        <v>0</v>
      </c>
      <c r="H59" s="11">
        <f t="shared" si="2"/>
        <v>71.774387465000018</v>
      </c>
      <c r="I59" s="11">
        <f t="shared" si="3"/>
        <v>0</v>
      </c>
      <c r="J59" s="11">
        <f t="shared" si="4"/>
        <v>62.69104930000001</v>
      </c>
      <c r="K59" s="11">
        <f t="shared" si="5"/>
        <v>0</v>
      </c>
      <c r="L59" s="11">
        <f t="shared" si="6"/>
        <v>52.166274600000008</v>
      </c>
      <c r="M59" s="11">
        <f t="shared" si="7"/>
        <v>0</v>
      </c>
      <c r="N59" s="11">
        <f t="shared" si="8"/>
        <v>46.675087800000007</v>
      </c>
      <c r="O59" s="11">
        <f t="shared" si="9"/>
        <v>0</v>
      </c>
      <c r="P59" s="11">
        <f t="shared" si="10"/>
        <v>1.3278261681025003</v>
      </c>
      <c r="Q59" s="11">
        <f t="shared" si="11"/>
        <v>0</v>
      </c>
      <c r="R59" s="415"/>
      <c r="S59" s="415"/>
    </row>
    <row r="60" spans="1:19" s="180" customFormat="1" ht="13.5" thickBot="1">
      <c r="A60" s="1328"/>
      <c r="B60" s="416"/>
      <c r="C60" s="297" t="s">
        <v>1165</v>
      </c>
      <c r="D60" s="575" t="s">
        <v>1166</v>
      </c>
      <c r="E60" s="177">
        <v>3690.62</v>
      </c>
      <c r="F60" s="8">
        <f t="shared" si="0"/>
        <v>2029.8410000000001</v>
      </c>
      <c r="G60" s="10">
        <f t="shared" si="1"/>
        <v>0</v>
      </c>
      <c r="H60" s="11">
        <f t="shared" si="2"/>
        <v>63.67611217000001</v>
      </c>
      <c r="I60" s="11">
        <f t="shared" si="3"/>
        <v>0</v>
      </c>
      <c r="J60" s="11">
        <f t="shared" si="4"/>
        <v>55.617643400000006</v>
      </c>
      <c r="K60" s="11">
        <f t="shared" si="5"/>
        <v>0</v>
      </c>
      <c r="L60" s="11">
        <f t="shared" si="6"/>
        <v>46.280374800000004</v>
      </c>
      <c r="M60" s="11">
        <f t="shared" si="7"/>
        <v>0</v>
      </c>
      <c r="N60" s="11">
        <f t="shared" si="8"/>
        <v>41.408756400000009</v>
      </c>
      <c r="O60" s="11">
        <f t="shared" si="9"/>
        <v>0</v>
      </c>
      <c r="P60" s="11">
        <f t="shared" si="10"/>
        <v>1.1780080751450002</v>
      </c>
      <c r="Q60" s="11">
        <f t="shared" si="11"/>
        <v>0</v>
      </c>
      <c r="R60" s="415"/>
      <c r="S60" s="415"/>
    </row>
    <row r="61" spans="1:19" s="180" customFormat="1" ht="13.5" thickBot="1">
      <c r="A61" s="1328"/>
      <c r="B61" s="416"/>
      <c r="C61" s="297" t="s">
        <v>1163</v>
      </c>
      <c r="D61" s="575" t="s">
        <v>1164</v>
      </c>
      <c r="E61" s="177">
        <v>3690.62</v>
      </c>
      <c r="F61" s="8">
        <f t="shared" si="0"/>
        <v>2029.8410000000001</v>
      </c>
      <c r="G61" s="10">
        <f t="shared" si="1"/>
        <v>0</v>
      </c>
      <c r="H61" s="11">
        <f t="shared" si="2"/>
        <v>63.67611217000001</v>
      </c>
      <c r="I61" s="11">
        <f t="shared" si="3"/>
        <v>0</v>
      </c>
      <c r="J61" s="11">
        <f t="shared" si="4"/>
        <v>55.617643400000006</v>
      </c>
      <c r="K61" s="11">
        <f t="shared" si="5"/>
        <v>0</v>
      </c>
      <c r="L61" s="11">
        <f t="shared" si="6"/>
        <v>46.280374800000004</v>
      </c>
      <c r="M61" s="11">
        <f t="shared" si="7"/>
        <v>0</v>
      </c>
      <c r="N61" s="11">
        <f t="shared" si="8"/>
        <v>41.408756400000009</v>
      </c>
      <c r="O61" s="11">
        <f t="shared" si="9"/>
        <v>0</v>
      </c>
      <c r="P61" s="11">
        <f t="shared" si="10"/>
        <v>1.1780080751450002</v>
      </c>
      <c r="Q61" s="11">
        <f t="shared" si="11"/>
        <v>0</v>
      </c>
      <c r="R61" s="415"/>
      <c r="S61" s="415"/>
    </row>
    <row r="62" spans="1:19" s="180" customFormat="1" ht="13.5" thickBot="1">
      <c r="A62" s="1328"/>
      <c r="B62" s="416"/>
      <c r="C62" s="297" t="s">
        <v>1081</v>
      </c>
      <c r="D62" s="575" t="s">
        <v>1082</v>
      </c>
      <c r="E62" s="177">
        <v>1628.26</v>
      </c>
      <c r="F62" s="8">
        <f t="shared" si="0"/>
        <v>895.54300000000012</v>
      </c>
      <c r="G62" s="10">
        <f t="shared" si="1"/>
        <v>0</v>
      </c>
      <c r="H62" s="11">
        <f t="shared" si="2"/>
        <v>28.093183910000004</v>
      </c>
      <c r="I62" s="11">
        <f t="shared" si="3"/>
        <v>0</v>
      </c>
      <c r="J62" s="11">
        <f t="shared" si="4"/>
        <v>24.537878200000005</v>
      </c>
      <c r="K62" s="11">
        <f t="shared" si="5"/>
        <v>0</v>
      </c>
      <c r="L62" s="11">
        <f t="shared" si="6"/>
        <v>20.418380400000004</v>
      </c>
      <c r="M62" s="11">
        <f t="shared" si="7"/>
        <v>0</v>
      </c>
      <c r="N62" s="11">
        <f t="shared" si="8"/>
        <v>18.269077200000005</v>
      </c>
      <c r="O62" s="11">
        <f t="shared" si="9"/>
        <v>0</v>
      </c>
      <c r="P62" s="11">
        <f t="shared" si="10"/>
        <v>0.5197239023350001</v>
      </c>
      <c r="Q62" s="11">
        <f t="shared" si="11"/>
        <v>0</v>
      </c>
      <c r="R62" s="415"/>
      <c r="S62" s="415"/>
    </row>
    <row r="63" spans="1:19" s="180" customFormat="1" ht="13.5" thickBot="1">
      <c r="A63" s="1328"/>
      <c r="B63" s="416"/>
      <c r="C63" s="297" t="s">
        <v>4026</v>
      </c>
      <c r="D63" s="575" t="s">
        <v>4027</v>
      </c>
      <c r="E63" s="177">
        <v>2366.46</v>
      </c>
      <c r="F63" s="8">
        <f t="shared" si="0"/>
        <v>1301.5530000000001</v>
      </c>
      <c r="G63" s="10">
        <f t="shared" si="1"/>
        <v>0</v>
      </c>
      <c r="H63" s="11">
        <f t="shared" si="2"/>
        <v>40.829717610000003</v>
      </c>
      <c r="I63" s="11">
        <f t="shared" si="3"/>
        <v>0</v>
      </c>
      <c r="J63" s="11">
        <f t="shared" si="4"/>
        <v>35.662552200000007</v>
      </c>
      <c r="K63" s="11">
        <f t="shared" si="5"/>
        <v>0</v>
      </c>
      <c r="L63" s="11">
        <f t="shared" si="6"/>
        <v>29.675408400000002</v>
      </c>
      <c r="M63" s="11">
        <f t="shared" si="7"/>
        <v>0</v>
      </c>
      <c r="N63" s="11">
        <f t="shared" si="8"/>
        <v>26.551681200000004</v>
      </c>
      <c r="O63" s="11">
        <f t="shared" si="9"/>
        <v>0</v>
      </c>
      <c r="P63" s="11">
        <f t="shared" si="10"/>
        <v>0.75534977578500007</v>
      </c>
      <c r="Q63" s="11">
        <f t="shared" si="11"/>
        <v>0</v>
      </c>
      <c r="R63" s="415"/>
      <c r="S63" s="415"/>
    </row>
    <row r="64" spans="1:19" s="175" customFormat="1" ht="13.5" thickBot="1">
      <c r="A64" s="1328"/>
      <c r="B64" s="416"/>
      <c r="C64" s="797" t="s">
        <v>1401</v>
      </c>
      <c r="D64" s="960" t="s">
        <v>1402</v>
      </c>
      <c r="E64" s="172">
        <v>13873.86</v>
      </c>
      <c r="F64" s="8">
        <f t="shared" si="0"/>
        <v>7630.6230000000005</v>
      </c>
      <c r="G64" s="10">
        <f t="shared" si="1"/>
        <v>0</v>
      </c>
      <c r="H64" s="11">
        <f t="shared" si="2"/>
        <v>239.37264351000002</v>
      </c>
      <c r="I64" s="11">
        <f t="shared" si="3"/>
        <v>0</v>
      </c>
      <c r="J64" s="11">
        <f t="shared" si="4"/>
        <v>209.07907020000002</v>
      </c>
      <c r="K64" s="11">
        <f t="shared" si="5"/>
        <v>0</v>
      </c>
      <c r="L64" s="11">
        <f t="shared" si="6"/>
        <v>173.97820440000001</v>
      </c>
      <c r="M64" s="11">
        <f t="shared" si="7"/>
        <v>0</v>
      </c>
      <c r="N64" s="11">
        <f t="shared" si="8"/>
        <v>155.66470920000003</v>
      </c>
      <c r="O64" s="11">
        <f t="shared" si="9"/>
        <v>0</v>
      </c>
      <c r="P64" s="11">
        <f t="shared" si="10"/>
        <v>4.4283939049350005</v>
      </c>
      <c r="Q64" s="11">
        <f t="shared" si="11"/>
        <v>0</v>
      </c>
      <c r="R64" s="892"/>
      <c r="S64" s="892"/>
    </row>
    <row r="65" spans="1:19" s="175" customFormat="1" ht="13.5" thickBot="1">
      <c r="A65" s="1328"/>
      <c r="B65" s="416"/>
      <c r="C65" s="797">
        <v>45204557</v>
      </c>
      <c r="D65" s="960" t="s">
        <v>4005</v>
      </c>
      <c r="E65" s="172">
        <v>12589.5</v>
      </c>
      <c r="F65" s="8">
        <f t="shared" si="0"/>
        <v>6924.2250000000004</v>
      </c>
      <c r="G65" s="10">
        <f t="shared" si="1"/>
        <v>0</v>
      </c>
      <c r="H65" s="11">
        <f t="shared" si="2"/>
        <v>217.21293825000004</v>
      </c>
      <c r="I65" s="11">
        <f t="shared" si="3"/>
        <v>0</v>
      </c>
      <c r="J65" s="11">
        <f t="shared" si="4"/>
        <v>189.72376500000001</v>
      </c>
      <c r="K65" s="11">
        <f t="shared" si="5"/>
        <v>0</v>
      </c>
      <c r="L65" s="11">
        <f t="shared" si="6"/>
        <v>157.87233000000001</v>
      </c>
      <c r="M65" s="11">
        <f t="shared" si="7"/>
        <v>0</v>
      </c>
      <c r="N65" s="11">
        <f t="shared" si="8"/>
        <v>141.25419000000002</v>
      </c>
      <c r="O65" s="11">
        <f t="shared" si="9"/>
        <v>0</v>
      </c>
      <c r="P65" s="11">
        <f t="shared" si="10"/>
        <v>4.0184393576250006</v>
      </c>
      <c r="Q65" s="11">
        <f t="shared" si="11"/>
        <v>0</v>
      </c>
      <c r="R65" s="892"/>
      <c r="S65" s="892"/>
    </row>
    <row r="66" spans="1:19" s="175" customFormat="1" ht="13.5" thickBot="1">
      <c r="A66" s="1328"/>
      <c r="B66" s="416"/>
      <c r="C66" s="173">
        <v>45204332</v>
      </c>
      <c r="D66" s="960" t="s">
        <v>4006</v>
      </c>
      <c r="E66" s="172">
        <v>14175</v>
      </c>
      <c r="F66" s="8">
        <f t="shared" si="0"/>
        <v>7796.2500000000009</v>
      </c>
      <c r="G66" s="10">
        <f t="shared" si="1"/>
        <v>0</v>
      </c>
      <c r="H66" s="11">
        <f t="shared" si="2"/>
        <v>244.56836250000003</v>
      </c>
      <c r="I66" s="11">
        <f t="shared" si="3"/>
        <v>0</v>
      </c>
      <c r="J66" s="11">
        <f t="shared" si="4"/>
        <v>213.61725000000004</v>
      </c>
      <c r="K66" s="11">
        <f t="shared" si="5"/>
        <v>0</v>
      </c>
      <c r="L66" s="11">
        <f t="shared" si="6"/>
        <v>177.75450000000004</v>
      </c>
      <c r="M66" s="11">
        <f t="shared" si="7"/>
        <v>0</v>
      </c>
      <c r="N66" s="11">
        <f t="shared" si="8"/>
        <v>159.04350000000002</v>
      </c>
      <c r="O66" s="11">
        <f t="shared" si="9"/>
        <v>0</v>
      </c>
      <c r="P66" s="11">
        <f t="shared" si="10"/>
        <v>4.5245147062500006</v>
      </c>
      <c r="Q66" s="11">
        <f t="shared" si="11"/>
        <v>0</v>
      </c>
      <c r="R66" s="892"/>
      <c r="S66" s="892"/>
    </row>
    <row r="67" spans="1:19" s="180" customFormat="1" ht="13.5" thickBot="1">
      <c r="A67" s="1328"/>
      <c r="B67" s="416"/>
      <c r="C67" s="297" t="s">
        <v>1121</v>
      </c>
      <c r="D67" s="575" t="s">
        <v>1122</v>
      </c>
      <c r="E67" s="177">
        <v>154.84</v>
      </c>
      <c r="F67" s="8">
        <f t="shared" si="0"/>
        <v>85.162000000000006</v>
      </c>
      <c r="G67" s="10">
        <f t="shared" si="1"/>
        <v>0</v>
      </c>
      <c r="H67" s="11">
        <f t="shared" si="2"/>
        <v>2.6715319400000004</v>
      </c>
      <c r="I67" s="11">
        <f t="shared" si="3"/>
        <v>0</v>
      </c>
      <c r="J67" s="11">
        <f t="shared" si="4"/>
        <v>2.3334388000000001</v>
      </c>
      <c r="K67" s="11">
        <f t="shared" si="5"/>
        <v>0</v>
      </c>
      <c r="L67" s="11">
        <f t="shared" si="6"/>
        <v>1.9416936000000002</v>
      </c>
      <c r="M67" s="11">
        <f t="shared" si="7"/>
        <v>0</v>
      </c>
      <c r="N67" s="11">
        <f t="shared" si="8"/>
        <v>1.7373048000000002</v>
      </c>
      <c r="O67" s="11">
        <f t="shared" si="9"/>
        <v>0</v>
      </c>
      <c r="P67" s="11">
        <f t="shared" si="10"/>
        <v>4.9423340890000007E-2</v>
      </c>
      <c r="Q67" s="11">
        <f t="shared" si="11"/>
        <v>0</v>
      </c>
      <c r="R67" s="415"/>
      <c r="S67" s="415"/>
    </row>
    <row r="68" spans="1:19" s="180" customFormat="1" ht="13.5" thickBot="1">
      <c r="A68" s="1328"/>
      <c r="B68" s="416"/>
      <c r="C68" s="297" t="s">
        <v>1111</v>
      </c>
      <c r="D68" s="575" t="s">
        <v>1112</v>
      </c>
      <c r="E68" s="177">
        <v>142.6</v>
      </c>
      <c r="F68" s="8">
        <f t="shared" si="0"/>
        <v>78.430000000000007</v>
      </c>
      <c r="G68" s="9">
        <f t="shared" si="1"/>
        <v>0</v>
      </c>
      <c r="H68" s="52">
        <f t="shared" si="2"/>
        <v>2.4603491000000002</v>
      </c>
      <c r="I68" s="11">
        <f t="shared" si="3"/>
        <v>0</v>
      </c>
      <c r="J68" s="11">
        <f t="shared" si="4"/>
        <v>2.1489820000000002</v>
      </c>
      <c r="K68" s="11">
        <f t="shared" si="5"/>
        <v>0</v>
      </c>
      <c r="L68" s="11">
        <f t="shared" si="6"/>
        <v>1.7882040000000001</v>
      </c>
      <c r="M68" s="11">
        <f t="shared" si="7"/>
        <v>0</v>
      </c>
      <c r="N68" s="11">
        <f t="shared" si="8"/>
        <v>1.5999720000000002</v>
      </c>
      <c r="O68" s="11">
        <f t="shared" si="9"/>
        <v>0</v>
      </c>
      <c r="P68" s="11">
        <f t="shared" si="10"/>
        <v>4.5516458350000004E-2</v>
      </c>
      <c r="Q68" s="11">
        <f t="shared" si="11"/>
        <v>0</v>
      </c>
      <c r="R68" s="415"/>
      <c r="S68" s="415"/>
    </row>
    <row r="69" spans="1:19" s="180" customFormat="1" ht="13.5" thickBot="1">
      <c r="A69" s="1328"/>
      <c r="B69" s="416"/>
      <c r="C69" s="297" t="s">
        <v>1101</v>
      </c>
      <c r="D69" s="575" t="s">
        <v>1102</v>
      </c>
      <c r="E69" s="177">
        <v>141.21</v>
      </c>
      <c r="F69" s="8">
        <f t="shared" si="0"/>
        <v>77.665500000000009</v>
      </c>
      <c r="G69" s="10">
        <f t="shared" si="1"/>
        <v>0</v>
      </c>
      <c r="H69" s="11">
        <f t="shared" si="2"/>
        <v>2.4363667350000004</v>
      </c>
      <c r="I69" s="11">
        <f t="shared" si="3"/>
        <v>0</v>
      </c>
      <c r="J69" s="11">
        <f t="shared" si="4"/>
        <v>2.1280347000000002</v>
      </c>
      <c r="K69" s="11">
        <f t="shared" si="5"/>
        <v>0</v>
      </c>
      <c r="L69" s="11">
        <f t="shared" si="6"/>
        <v>1.7707734000000002</v>
      </c>
      <c r="M69" s="11">
        <f t="shared" si="7"/>
        <v>0</v>
      </c>
      <c r="N69" s="11">
        <f t="shared" si="8"/>
        <v>1.5843762000000003</v>
      </c>
      <c r="O69" s="11">
        <f t="shared" si="9"/>
        <v>0</v>
      </c>
      <c r="P69" s="11">
        <f t="shared" si="10"/>
        <v>4.5072784597500005E-2</v>
      </c>
      <c r="Q69" s="11">
        <f t="shared" si="11"/>
        <v>0</v>
      </c>
      <c r="R69" s="415"/>
      <c r="S69" s="415"/>
    </row>
    <row r="70" spans="1:19" s="180" customFormat="1" ht="13.5" thickBot="1">
      <c r="A70" s="1328"/>
      <c r="B70" s="416"/>
      <c r="C70" s="297" t="s">
        <v>1103</v>
      </c>
      <c r="D70" s="575" t="s">
        <v>1104</v>
      </c>
      <c r="E70" s="177">
        <v>122.89</v>
      </c>
      <c r="F70" s="8">
        <f t="shared" si="0"/>
        <v>67.589500000000001</v>
      </c>
      <c r="G70" s="10">
        <f t="shared" si="1"/>
        <v>0</v>
      </c>
      <c r="H70" s="11">
        <f t="shared" si="2"/>
        <v>2.1202826150000003</v>
      </c>
      <c r="I70" s="11">
        <f t="shared" si="3"/>
        <v>0</v>
      </c>
      <c r="J70" s="11">
        <f t="shared" si="4"/>
        <v>1.8519523</v>
      </c>
      <c r="K70" s="11">
        <f t="shared" si="5"/>
        <v>0</v>
      </c>
      <c r="L70" s="11">
        <f t="shared" si="6"/>
        <v>1.5410406000000001</v>
      </c>
      <c r="M70" s="11">
        <f t="shared" si="7"/>
        <v>0</v>
      </c>
      <c r="N70" s="11">
        <f t="shared" si="8"/>
        <v>1.3788258000000002</v>
      </c>
      <c r="O70" s="11">
        <f t="shared" si="9"/>
        <v>0</v>
      </c>
      <c r="P70" s="11">
        <f t="shared" si="10"/>
        <v>3.9225228377500004E-2</v>
      </c>
      <c r="Q70" s="11">
        <f t="shared" si="11"/>
        <v>0</v>
      </c>
      <c r="R70" s="415"/>
      <c r="S70" s="415"/>
    </row>
    <row r="71" spans="1:19" s="180" customFormat="1" ht="13.5" thickBot="1">
      <c r="A71" s="1328"/>
      <c r="B71" s="416"/>
      <c r="C71" s="891" t="s">
        <v>1113</v>
      </c>
      <c r="D71" s="575" t="s">
        <v>1114</v>
      </c>
      <c r="E71" s="177">
        <v>124.08</v>
      </c>
      <c r="F71" s="8">
        <f t="shared" si="0"/>
        <v>68.244</v>
      </c>
      <c r="G71" s="10">
        <f t="shared" si="1"/>
        <v>0</v>
      </c>
      <c r="H71" s="11">
        <f t="shared" si="2"/>
        <v>2.1408142800000003</v>
      </c>
      <c r="I71" s="11">
        <f t="shared" si="3"/>
        <v>0</v>
      </c>
      <c r="J71" s="11">
        <f t="shared" si="4"/>
        <v>1.8698856000000001</v>
      </c>
      <c r="K71" s="11">
        <f t="shared" si="5"/>
        <v>0</v>
      </c>
      <c r="L71" s="11">
        <f t="shared" si="6"/>
        <v>1.5559632000000001</v>
      </c>
      <c r="M71" s="11">
        <f t="shared" si="7"/>
        <v>0</v>
      </c>
      <c r="N71" s="11">
        <f t="shared" si="8"/>
        <v>1.3921776000000001</v>
      </c>
      <c r="O71" s="11">
        <f t="shared" si="9"/>
        <v>0</v>
      </c>
      <c r="P71" s="11">
        <f t="shared" si="10"/>
        <v>3.9605064180000003E-2</v>
      </c>
      <c r="Q71" s="11">
        <f t="shared" si="11"/>
        <v>0</v>
      </c>
      <c r="R71" s="415"/>
      <c r="S71" s="415"/>
    </row>
    <row r="72" spans="1:19" s="180" customFormat="1" ht="13.5" thickBot="1">
      <c r="A72" s="1328"/>
      <c r="B72" s="416"/>
      <c r="C72" s="297" t="s">
        <v>1107</v>
      </c>
      <c r="D72" s="575" t="s">
        <v>1108</v>
      </c>
      <c r="E72" s="177">
        <v>111.45</v>
      </c>
      <c r="F72" s="8">
        <f t="shared" si="0"/>
        <v>61.297500000000007</v>
      </c>
      <c r="G72" s="10">
        <f t="shared" si="1"/>
        <v>0</v>
      </c>
      <c r="H72" s="11">
        <f t="shared" si="2"/>
        <v>1.9229025750000004</v>
      </c>
      <c r="I72" s="11">
        <f t="shared" si="3"/>
        <v>0</v>
      </c>
      <c r="J72" s="11">
        <f t="shared" si="4"/>
        <v>1.6795515000000003</v>
      </c>
      <c r="K72" s="11">
        <f t="shared" si="5"/>
        <v>0</v>
      </c>
      <c r="L72" s="11">
        <f t="shared" si="6"/>
        <v>1.3975830000000002</v>
      </c>
      <c r="M72" s="11">
        <f t="shared" si="7"/>
        <v>0</v>
      </c>
      <c r="N72" s="11">
        <f t="shared" si="8"/>
        <v>1.2504690000000003</v>
      </c>
      <c r="O72" s="11">
        <f t="shared" si="9"/>
        <v>0</v>
      </c>
      <c r="P72" s="11">
        <f t="shared" si="10"/>
        <v>3.5573697637500006E-2</v>
      </c>
      <c r="Q72" s="11">
        <f t="shared" si="11"/>
        <v>0</v>
      </c>
      <c r="R72" s="415"/>
      <c r="S72" s="415"/>
    </row>
    <row r="73" spans="1:19" s="180" customFormat="1" ht="13.5" thickBot="1">
      <c r="A73" s="1328"/>
      <c r="B73" s="416"/>
      <c r="C73" s="297" t="s">
        <v>1123</v>
      </c>
      <c r="D73" s="575" t="s">
        <v>1124</v>
      </c>
      <c r="E73" s="177">
        <v>134.54</v>
      </c>
      <c r="F73" s="8">
        <f t="shared" si="0"/>
        <v>73.997</v>
      </c>
      <c r="G73" s="10">
        <f t="shared" si="1"/>
        <v>0</v>
      </c>
      <c r="H73" s="11">
        <f t="shared" si="2"/>
        <v>2.32128589</v>
      </c>
      <c r="I73" s="11">
        <f t="shared" si="3"/>
        <v>0</v>
      </c>
      <c r="J73" s="11">
        <f t="shared" si="4"/>
        <v>2.0275178</v>
      </c>
      <c r="K73" s="11">
        <f t="shared" si="5"/>
        <v>0</v>
      </c>
      <c r="L73" s="11">
        <f t="shared" si="6"/>
        <v>1.6871316000000001</v>
      </c>
      <c r="M73" s="11">
        <f t="shared" si="7"/>
        <v>0</v>
      </c>
      <c r="N73" s="11">
        <f t="shared" si="8"/>
        <v>1.5095388000000001</v>
      </c>
      <c r="O73" s="11">
        <f t="shared" si="9"/>
        <v>0</v>
      </c>
      <c r="P73" s="11">
        <f t="shared" si="10"/>
        <v>4.2943788965E-2</v>
      </c>
      <c r="Q73" s="11">
        <f t="shared" si="11"/>
        <v>0</v>
      </c>
      <c r="R73" s="415"/>
      <c r="S73" s="415"/>
    </row>
    <row r="74" spans="1:19" s="180" customFormat="1" ht="13.5" thickBot="1">
      <c r="A74" s="1328"/>
      <c r="B74" s="416"/>
      <c r="C74" s="297" t="s">
        <v>1105</v>
      </c>
      <c r="D74" s="575" t="s">
        <v>1106</v>
      </c>
      <c r="E74" s="177">
        <v>113.74</v>
      </c>
      <c r="F74" s="8">
        <f t="shared" si="0"/>
        <v>62.557000000000002</v>
      </c>
      <c r="G74" s="10">
        <f t="shared" si="1"/>
        <v>0</v>
      </c>
      <c r="H74" s="11">
        <f t="shared" si="2"/>
        <v>1.9624130900000003</v>
      </c>
      <c r="I74" s="11">
        <f t="shared" si="3"/>
        <v>0</v>
      </c>
      <c r="J74" s="11">
        <f t="shared" si="4"/>
        <v>1.7140618000000001</v>
      </c>
      <c r="K74" s="11">
        <f t="shared" si="5"/>
        <v>0</v>
      </c>
      <c r="L74" s="11">
        <f t="shared" si="6"/>
        <v>1.4262996000000001</v>
      </c>
      <c r="M74" s="11">
        <f t="shared" si="7"/>
        <v>0</v>
      </c>
      <c r="N74" s="11">
        <f t="shared" si="8"/>
        <v>1.2761628</v>
      </c>
      <c r="O74" s="11">
        <f t="shared" si="9"/>
        <v>0</v>
      </c>
      <c r="P74" s="11">
        <f t="shared" si="10"/>
        <v>3.6304642165000005E-2</v>
      </c>
      <c r="Q74" s="11">
        <f t="shared" si="11"/>
        <v>0</v>
      </c>
      <c r="R74" s="415"/>
      <c r="S74" s="415"/>
    </row>
    <row r="75" spans="1:19" s="180" customFormat="1" ht="13.5" thickBot="1">
      <c r="A75" s="1328"/>
      <c r="B75" s="416"/>
      <c r="C75" s="297" t="s">
        <v>1125</v>
      </c>
      <c r="D75" s="575" t="s">
        <v>1126</v>
      </c>
      <c r="E75" s="177">
        <v>124.34</v>
      </c>
      <c r="F75" s="8">
        <f t="shared" si="0"/>
        <v>68.387</v>
      </c>
      <c r="G75" s="10">
        <f t="shared" si="1"/>
        <v>0</v>
      </c>
      <c r="H75" s="11">
        <f t="shared" si="2"/>
        <v>2.1453001899999999</v>
      </c>
      <c r="I75" s="11">
        <f t="shared" si="3"/>
        <v>0</v>
      </c>
      <c r="J75" s="11">
        <f t="shared" si="4"/>
        <v>1.8738038000000001</v>
      </c>
      <c r="K75" s="11">
        <f t="shared" si="5"/>
        <v>0</v>
      </c>
      <c r="L75" s="11">
        <f t="shared" si="6"/>
        <v>1.5592236000000002</v>
      </c>
      <c r="M75" s="11">
        <f t="shared" si="7"/>
        <v>0</v>
      </c>
      <c r="N75" s="11">
        <f t="shared" si="8"/>
        <v>1.3950948000000001</v>
      </c>
      <c r="O75" s="11">
        <f t="shared" si="9"/>
        <v>0</v>
      </c>
      <c r="P75" s="11">
        <f t="shared" si="10"/>
        <v>3.9688053514999995E-2</v>
      </c>
      <c r="Q75" s="11">
        <f t="shared" si="11"/>
        <v>0</v>
      </c>
      <c r="R75" s="415"/>
      <c r="S75" s="415"/>
    </row>
    <row r="76" spans="1:19" s="180" customFormat="1" ht="13.5" thickBot="1">
      <c r="A76" s="1328"/>
      <c r="B76" s="416"/>
      <c r="C76" s="297" t="s">
        <v>1115</v>
      </c>
      <c r="D76" s="575" t="s">
        <v>1116</v>
      </c>
      <c r="E76" s="177">
        <v>118.33</v>
      </c>
      <c r="F76" s="8">
        <f t="shared" si="0"/>
        <v>65.081500000000005</v>
      </c>
      <c r="G76" s="10">
        <f t="shared" si="1"/>
        <v>0</v>
      </c>
      <c r="H76" s="11">
        <f t="shared" si="2"/>
        <v>2.0416066550000003</v>
      </c>
      <c r="I76" s="11">
        <f t="shared" si="3"/>
        <v>0</v>
      </c>
      <c r="J76" s="11">
        <f t="shared" si="4"/>
        <v>1.7832331000000001</v>
      </c>
      <c r="K76" s="11">
        <f t="shared" si="5"/>
        <v>0</v>
      </c>
      <c r="L76" s="11">
        <f t="shared" si="6"/>
        <v>1.4838582000000002</v>
      </c>
      <c r="M76" s="11">
        <f t="shared" si="7"/>
        <v>0</v>
      </c>
      <c r="N76" s="11">
        <f t="shared" si="8"/>
        <v>1.3276626000000002</v>
      </c>
      <c r="O76" s="11">
        <f t="shared" si="9"/>
        <v>0</v>
      </c>
      <c r="P76" s="11">
        <f t="shared" si="10"/>
        <v>3.7769723117500001E-2</v>
      </c>
      <c r="Q76" s="11">
        <f t="shared" si="11"/>
        <v>0</v>
      </c>
      <c r="R76" s="415"/>
      <c r="S76" s="415"/>
    </row>
    <row r="77" spans="1:19" s="180" customFormat="1" ht="13.5" thickBot="1">
      <c r="A77" s="1328"/>
      <c r="B77" s="416"/>
      <c r="C77" s="297" t="s">
        <v>1127</v>
      </c>
      <c r="D77" s="575" t="s">
        <v>1128</v>
      </c>
      <c r="E77" s="177">
        <v>122.49</v>
      </c>
      <c r="F77" s="8">
        <f t="shared" si="0"/>
        <v>67.369500000000002</v>
      </c>
      <c r="G77" s="10">
        <f t="shared" si="1"/>
        <v>0</v>
      </c>
      <c r="H77" s="11">
        <f t="shared" si="2"/>
        <v>2.1133812150000004</v>
      </c>
      <c r="I77" s="11">
        <f t="shared" si="3"/>
        <v>0</v>
      </c>
      <c r="J77" s="11">
        <f t="shared" si="4"/>
        <v>1.8459243000000001</v>
      </c>
      <c r="K77" s="11">
        <f t="shared" si="5"/>
        <v>0</v>
      </c>
      <c r="L77" s="11">
        <f t="shared" si="6"/>
        <v>1.5360246000000002</v>
      </c>
      <c r="M77" s="11">
        <f t="shared" si="7"/>
        <v>0</v>
      </c>
      <c r="N77" s="11">
        <f t="shared" si="8"/>
        <v>1.3743378000000002</v>
      </c>
      <c r="O77" s="11">
        <f t="shared" si="9"/>
        <v>0</v>
      </c>
      <c r="P77" s="11">
        <f t="shared" si="10"/>
        <v>3.9097552477500006E-2</v>
      </c>
      <c r="Q77" s="11">
        <f t="shared" si="11"/>
        <v>0</v>
      </c>
      <c r="R77" s="415"/>
      <c r="S77" s="415"/>
    </row>
    <row r="78" spans="1:19" s="180" customFormat="1" ht="13.5" thickBot="1">
      <c r="A78" s="1328"/>
      <c r="B78" s="416"/>
      <c r="C78" s="297" t="s">
        <v>1117</v>
      </c>
      <c r="D78" s="575" t="s">
        <v>1118</v>
      </c>
      <c r="E78" s="177">
        <v>115.93</v>
      </c>
      <c r="F78" s="8">
        <f t="shared" si="0"/>
        <v>63.761500000000012</v>
      </c>
      <c r="G78" s="10">
        <f t="shared" si="1"/>
        <v>0</v>
      </c>
      <c r="H78" s="11">
        <f t="shared" si="2"/>
        <v>2.0001982550000004</v>
      </c>
      <c r="I78" s="11">
        <f t="shared" si="3"/>
        <v>0</v>
      </c>
      <c r="J78" s="11">
        <f t="shared" si="4"/>
        <v>1.7470651000000004</v>
      </c>
      <c r="K78" s="11">
        <f t="shared" si="5"/>
        <v>0</v>
      </c>
      <c r="L78" s="11">
        <f t="shared" si="6"/>
        <v>1.4537622000000003</v>
      </c>
      <c r="M78" s="11">
        <f t="shared" si="7"/>
        <v>0</v>
      </c>
      <c r="N78" s="11">
        <f t="shared" si="8"/>
        <v>1.3007346000000004</v>
      </c>
      <c r="O78" s="11">
        <f t="shared" si="9"/>
        <v>0</v>
      </c>
      <c r="P78" s="11">
        <f t="shared" si="10"/>
        <v>3.7003667717500008E-2</v>
      </c>
      <c r="Q78" s="11">
        <f t="shared" si="11"/>
        <v>0</v>
      </c>
      <c r="R78" s="415"/>
      <c r="S78" s="415"/>
    </row>
    <row r="79" spans="1:19" s="180" customFormat="1" ht="13.5" thickBot="1">
      <c r="A79" s="1328"/>
      <c r="B79" s="416"/>
      <c r="C79" s="297" t="s">
        <v>1109</v>
      </c>
      <c r="D79" s="575" t="s">
        <v>1110</v>
      </c>
      <c r="E79" s="177">
        <v>105.33</v>
      </c>
      <c r="F79" s="8">
        <f t="shared" si="0"/>
        <v>57.931500000000007</v>
      </c>
      <c r="G79" s="10">
        <f t="shared" si="1"/>
        <v>0</v>
      </c>
      <c r="H79" s="11">
        <f t="shared" si="2"/>
        <v>1.8173111550000003</v>
      </c>
      <c r="I79" s="11">
        <f t="shared" si="3"/>
        <v>0</v>
      </c>
      <c r="J79" s="11">
        <f t="shared" si="4"/>
        <v>1.5873231000000003</v>
      </c>
      <c r="K79" s="11">
        <f t="shared" si="5"/>
        <v>0</v>
      </c>
      <c r="L79" s="11">
        <f t="shared" si="6"/>
        <v>1.3208382000000003</v>
      </c>
      <c r="M79" s="11">
        <f t="shared" si="7"/>
        <v>0</v>
      </c>
      <c r="N79" s="11">
        <f t="shared" si="8"/>
        <v>1.1818026000000001</v>
      </c>
      <c r="O79" s="11">
        <f t="shared" si="9"/>
        <v>0</v>
      </c>
      <c r="P79" s="11">
        <f t="shared" si="10"/>
        <v>3.3620256367500004E-2</v>
      </c>
      <c r="Q79" s="11">
        <f t="shared" si="11"/>
        <v>0</v>
      </c>
      <c r="R79" s="415"/>
      <c r="S79" s="415"/>
    </row>
    <row r="80" spans="1:19" s="180" customFormat="1" ht="13.5" thickBot="1">
      <c r="A80" s="1328"/>
      <c r="B80" s="416"/>
      <c r="C80" s="797" t="s">
        <v>1129</v>
      </c>
      <c r="D80" s="960" t="s">
        <v>1130</v>
      </c>
      <c r="E80" s="172">
        <v>115.12</v>
      </c>
      <c r="F80" s="8">
        <f t="shared" si="0"/>
        <v>63.31600000000001</v>
      </c>
      <c r="G80" s="10">
        <f t="shared" si="1"/>
        <v>0</v>
      </c>
      <c r="H80" s="11">
        <f t="shared" si="2"/>
        <v>1.9862229200000003</v>
      </c>
      <c r="I80" s="11">
        <f t="shared" si="3"/>
        <v>0</v>
      </c>
      <c r="J80" s="11">
        <f t="shared" si="4"/>
        <v>1.7348584000000002</v>
      </c>
      <c r="K80" s="11">
        <f t="shared" si="5"/>
        <v>0</v>
      </c>
      <c r="L80" s="11">
        <f t="shared" si="6"/>
        <v>1.4436048000000004</v>
      </c>
      <c r="M80" s="11">
        <f t="shared" si="7"/>
        <v>0</v>
      </c>
      <c r="N80" s="11">
        <f t="shared" si="8"/>
        <v>1.2916464000000003</v>
      </c>
      <c r="O80" s="11">
        <f t="shared" si="9"/>
        <v>0</v>
      </c>
      <c r="P80" s="11">
        <f t="shared" si="10"/>
        <v>3.6745124020000006E-2</v>
      </c>
      <c r="Q80" s="11">
        <f t="shared" si="11"/>
        <v>0</v>
      </c>
      <c r="R80" s="415"/>
      <c r="S80" s="415"/>
    </row>
    <row r="81" spans="1:19" s="180" customFormat="1" ht="13.5" thickBot="1">
      <c r="A81" s="1328"/>
      <c r="B81" s="416"/>
      <c r="C81" s="297" t="s">
        <v>1119</v>
      </c>
      <c r="D81" s="575" t="s">
        <v>1120</v>
      </c>
      <c r="E81" s="177">
        <v>103.1</v>
      </c>
      <c r="F81" s="8">
        <f t="shared" si="0"/>
        <v>56.704999999999998</v>
      </c>
      <c r="G81" s="10">
        <f t="shared" si="1"/>
        <v>0</v>
      </c>
      <c r="H81" s="11">
        <f t="shared" si="2"/>
        <v>1.7788358500000001</v>
      </c>
      <c r="I81" s="11">
        <f t="shared" si="3"/>
        <v>0</v>
      </c>
      <c r="J81" s="11">
        <f t="shared" si="4"/>
        <v>1.553717</v>
      </c>
      <c r="K81" s="11">
        <f t="shared" si="5"/>
        <v>0</v>
      </c>
      <c r="L81" s="11">
        <f t="shared" si="6"/>
        <v>1.2928740000000001</v>
      </c>
      <c r="M81" s="11">
        <f t="shared" si="7"/>
        <v>0</v>
      </c>
      <c r="N81" s="11">
        <f t="shared" si="8"/>
        <v>1.156782</v>
      </c>
      <c r="O81" s="11">
        <f t="shared" si="9"/>
        <v>0</v>
      </c>
      <c r="P81" s="11">
        <f t="shared" si="10"/>
        <v>3.2908463225000004E-2</v>
      </c>
      <c r="Q81" s="11">
        <f t="shared" si="11"/>
        <v>0</v>
      </c>
      <c r="R81" s="415"/>
      <c r="S81" s="415"/>
    </row>
    <row r="82" spans="1:19" s="180" customFormat="1" ht="13.5" thickBot="1">
      <c r="A82" s="1328"/>
      <c r="B82" s="416"/>
      <c r="C82" s="797" t="s">
        <v>1155</v>
      </c>
      <c r="D82" s="960" t="s">
        <v>1156</v>
      </c>
      <c r="E82" s="172">
        <v>99.44</v>
      </c>
      <c r="F82" s="8">
        <f t="shared" si="0"/>
        <v>54.692</v>
      </c>
      <c r="G82" s="10">
        <f t="shared" si="1"/>
        <v>0</v>
      </c>
      <c r="H82" s="11">
        <f t="shared" si="2"/>
        <v>1.7156880400000001</v>
      </c>
      <c r="I82" s="11">
        <f t="shared" si="3"/>
        <v>0</v>
      </c>
      <c r="J82" s="11">
        <f t="shared" si="4"/>
        <v>1.4985608000000001</v>
      </c>
      <c r="K82" s="11">
        <f t="shared" si="5"/>
        <v>0</v>
      </c>
      <c r="L82" s="11">
        <f t="shared" si="6"/>
        <v>1.2469776000000001</v>
      </c>
      <c r="M82" s="11">
        <f t="shared" si="7"/>
        <v>0</v>
      </c>
      <c r="N82" s="11">
        <f t="shared" si="8"/>
        <v>1.1157168000000002</v>
      </c>
      <c r="O82" s="11">
        <f t="shared" si="9"/>
        <v>0</v>
      </c>
      <c r="P82" s="11">
        <f t="shared" si="10"/>
        <v>3.1740228740000001E-2</v>
      </c>
      <c r="Q82" s="11">
        <f t="shared" si="11"/>
        <v>0</v>
      </c>
      <c r="R82" s="415"/>
      <c r="S82" s="415"/>
    </row>
    <row r="83" spans="1:19" s="180" customFormat="1" ht="13.5" thickBot="1">
      <c r="A83" s="1328"/>
      <c r="B83" s="416"/>
      <c r="C83" s="797" t="s">
        <v>1157</v>
      </c>
      <c r="D83" s="960" t="s">
        <v>1158</v>
      </c>
      <c r="E83" s="172">
        <v>99.44</v>
      </c>
      <c r="F83" s="8">
        <f t="shared" si="0"/>
        <v>54.692</v>
      </c>
      <c r="G83" s="9">
        <f t="shared" si="1"/>
        <v>0</v>
      </c>
      <c r="H83" s="52">
        <f t="shared" si="2"/>
        <v>1.7156880400000001</v>
      </c>
      <c r="I83" s="11">
        <f t="shared" si="3"/>
        <v>0</v>
      </c>
      <c r="J83" s="11">
        <f t="shared" si="4"/>
        <v>1.4985608000000001</v>
      </c>
      <c r="K83" s="11">
        <f t="shared" si="5"/>
        <v>0</v>
      </c>
      <c r="L83" s="11">
        <f t="shared" si="6"/>
        <v>1.2469776000000001</v>
      </c>
      <c r="M83" s="11">
        <f t="shared" si="7"/>
        <v>0</v>
      </c>
      <c r="N83" s="11">
        <f t="shared" si="8"/>
        <v>1.1157168000000002</v>
      </c>
      <c r="O83" s="11">
        <f t="shared" si="9"/>
        <v>0</v>
      </c>
      <c r="P83" s="11">
        <f t="shared" si="10"/>
        <v>3.1740228740000001E-2</v>
      </c>
      <c r="Q83" s="11">
        <f t="shared" si="11"/>
        <v>0</v>
      </c>
      <c r="R83" s="415"/>
      <c r="S83" s="415"/>
    </row>
    <row r="84" spans="1:19" s="180" customFormat="1" ht="13.5" thickBot="1">
      <c r="A84" s="1328"/>
      <c r="B84" s="416"/>
      <c r="C84" s="797" t="s">
        <v>1159</v>
      </c>
      <c r="D84" s="960" t="s">
        <v>1160</v>
      </c>
      <c r="E84" s="172">
        <v>99.44</v>
      </c>
      <c r="F84" s="8">
        <f t="shared" si="0"/>
        <v>54.692</v>
      </c>
      <c r="G84" s="9">
        <f t="shared" si="1"/>
        <v>0</v>
      </c>
      <c r="H84" s="52">
        <f t="shared" si="2"/>
        <v>1.7156880400000001</v>
      </c>
      <c r="I84" s="11">
        <f t="shared" si="3"/>
        <v>0</v>
      </c>
      <c r="J84" s="11">
        <f t="shared" si="4"/>
        <v>1.4985608000000001</v>
      </c>
      <c r="K84" s="11">
        <f t="shared" si="5"/>
        <v>0</v>
      </c>
      <c r="L84" s="11">
        <f t="shared" si="6"/>
        <v>1.2469776000000001</v>
      </c>
      <c r="M84" s="11">
        <f t="shared" si="7"/>
        <v>0</v>
      </c>
      <c r="N84" s="11">
        <f t="shared" si="8"/>
        <v>1.1157168000000002</v>
      </c>
      <c r="O84" s="11">
        <f t="shared" si="9"/>
        <v>0</v>
      </c>
      <c r="P84" s="11">
        <f t="shared" si="10"/>
        <v>3.1740228740000001E-2</v>
      </c>
      <c r="Q84" s="11">
        <f t="shared" si="11"/>
        <v>0</v>
      </c>
      <c r="R84" s="415"/>
      <c r="S84" s="415"/>
    </row>
    <row r="85" spans="1:19" s="180" customFormat="1" ht="13.5" thickBot="1">
      <c r="A85" s="1328"/>
      <c r="B85" s="416"/>
      <c r="C85" s="173" t="s">
        <v>4114</v>
      </c>
      <c r="D85" s="960" t="s">
        <v>1367</v>
      </c>
      <c r="E85" s="172">
        <v>1739.34</v>
      </c>
      <c r="F85" s="8">
        <f t="shared" si="0"/>
        <v>956.63700000000006</v>
      </c>
      <c r="G85" s="9">
        <f t="shared" si="1"/>
        <v>0</v>
      </c>
      <c r="H85" s="52">
        <f t="shared" si="2"/>
        <v>30.009702690000005</v>
      </c>
      <c r="I85" s="11">
        <f t="shared" si="3"/>
        <v>0</v>
      </c>
      <c r="J85" s="11">
        <f t="shared" si="4"/>
        <v>26.211853800000004</v>
      </c>
      <c r="K85" s="11">
        <f t="shared" si="5"/>
        <v>0</v>
      </c>
      <c r="L85" s="11">
        <f t="shared" si="6"/>
        <v>21.811323600000001</v>
      </c>
      <c r="M85" s="11">
        <f t="shared" si="7"/>
        <v>0</v>
      </c>
      <c r="N85" s="11">
        <f t="shared" si="8"/>
        <v>19.515394800000003</v>
      </c>
      <c r="O85" s="11">
        <f t="shared" si="9"/>
        <v>0</v>
      </c>
      <c r="P85" s="11">
        <f t="shared" si="10"/>
        <v>0.55517949976500003</v>
      </c>
      <c r="Q85" s="11">
        <f t="shared" si="11"/>
        <v>0</v>
      </c>
      <c r="R85" s="415"/>
      <c r="S85" s="415"/>
    </row>
    <row r="86" spans="1:19" s="180" customFormat="1" ht="13.5" thickBot="1">
      <c r="A86" s="1328"/>
      <c r="B86" s="416"/>
      <c r="C86" s="297" t="s">
        <v>1201</v>
      </c>
      <c r="D86" s="575" t="s">
        <v>1202</v>
      </c>
      <c r="E86" s="177">
        <v>25001.78</v>
      </c>
      <c r="F86" s="8">
        <f t="shared" si="0"/>
        <v>13750.979000000001</v>
      </c>
      <c r="G86" s="9">
        <f t="shared" si="1"/>
        <v>0</v>
      </c>
      <c r="H86" s="52">
        <f t="shared" si="2"/>
        <v>431.36821123000004</v>
      </c>
      <c r="I86" s="11">
        <f t="shared" si="3"/>
        <v>0</v>
      </c>
      <c r="J86" s="11">
        <f t="shared" si="4"/>
        <v>376.77682460000005</v>
      </c>
      <c r="K86" s="11">
        <f t="shared" si="5"/>
        <v>0</v>
      </c>
      <c r="L86" s="11">
        <f t="shared" si="6"/>
        <v>313.52232120000002</v>
      </c>
      <c r="M86" s="11">
        <f t="shared" si="7"/>
        <v>0</v>
      </c>
      <c r="N86" s="11">
        <f t="shared" si="8"/>
        <v>280.51997160000002</v>
      </c>
      <c r="O86" s="11">
        <f t="shared" si="9"/>
        <v>0</v>
      </c>
      <c r="P86" s="11">
        <f t="shared" si="10"/>
        <v>7.9803119077550004</v>
      </c>
      <c r="Q86" s="11">
        <f t="shared" si="11"/>
        <v>0</v>
      </c>
      <c r="R86" s="415"/>
      <c r="S86" s="415"/>
    </row>
    <row r="87" spans="1:19" s="180" customFormat="1" ht="13.5" thickBot="1">
      <c r="A87" s="1328"/>
      <c r="B87" s="416"/>
      <c r="C87" s="297" t="s">
        <v>1203</v>
      </c>
      <c r="D87" s="575" t="s">
        <v>1204</v>
      </c>
      <c r="E87" s="177">
        <v>15459.44</v>
      </c>
      <c r="F87" s="8">
        <f t="shared" si="0"/>
        <v>8502.6920000000009</v>
      </c>
      <c r="G87" s="9">
        <f t="shared" si="1"/>
        <v>0</v>
      </c>
      <c r="H87" s="52">
        <f t="shared" si="2"/>
        <v>266.72944804000002</v>
      </c>
      <c r="I87" s="11">
        <f t="shared" si="3"/>
        <v>0</v>
      </c>
      <c r="J87" s="11">
        <f t="shared" si="4"/>
        <v>232.97376080000004</v>
      </c>
      <c r="K87" s="11">
        <f t="shared" si="5"/>
        <v>0</v>
      </c>
      <c r="L87" s="11">
        <f t="shared" si="6"/>
        <v>193.86137760000003</v>
      </c>
      <c r="M87" s="11">
        <f t="shared" si="7"/>
        <v>0</v>
      </c>
      <c r="N87" s="11">
        <f t="shared" si="8"/>
        <v>173.45491680000003</v>
      </c>
      <c r="O87" s="11">
        <f t="shared" si="9"/>
        <v>0</v>
      </c>
      <c r="P87" s="11">
        <f t="shared" si="10"/>
        <v>4.9344947887400004</v>
      </c>
      <c r="Q87" s="11">
        <f t="shared" si="11"/>
        <v>0</v>
      </c>
      <c r="R87" s="415"/>
      <c r="S87" s="415"/>
    </row>
    <row r="88" spans="1:19" s="180" customFormat="1" ht="13.5" thickBot="1">
      <c r="A88" s="1328"/>
      <c r="B88" s="416"/>
      <c r="C88" s="891" t="s">
        <v>1403</v>
      </c>
      <c r="D88" s="575" t="s">
        <v>4028</v>
      </c>
      <c r="E88" s="177">
        <v>1042.54</v>
      </c>
      <c r="F88" s="8">
        <f t="shared" si="0"/>
        <v>573.39700000000005</v>
      </c>
      <c r="G88" s="9">
        <f t="shared" si="1"/>
        <v>0</v>
      </c>
      <c r="H88" s="52">
        <f t="shared" si="2"/>
        <v>17.987463890000004</v>
      </c>
      <c r="I88" s="11">
        <f t="shared" si="3"/>
        <v>0</v>
      </c>
      <c r="J88" s="11">
        <f t="shared" si="4"/>
        <v>15.711077800000002</v>
      </c>
      <c r="K88" s="11">
        <f t="shared" si="5"/>
        <v>0</v>
      </c>
      <c r="L88" s="11">
        <f t="shared" si="6"/>
        <v>13.073451600000002</v>
      </c>
      <c r="M88" s="11">
        <f t="shared" si="7"/>
        <v>0</v>
      </c>
      <c r="N88" s="11">
        <f t="shared" si="8"/>
        <v>11.697298800000002</v>
      </c>
      <c r="O88" s="11">
        <f t="shared" si="9"/>
        <v>0</v>
      </c>
      <c r="P88" s="11">
        <f t="shared" si="10"/>
        <v>0.33276808196500007</v>
      </c>
      <c r="Q88" s="11">
        <f t="shared" si="11"/>
        <v>0</v>
      </c>
      <c r="R88" s="415"/>
      <c r="S88" s="415"/>
    </row>
    <row r="89" spans="1:19" s="180" customFormat="1" ht="13.5" thickBot="1">
      <c r="A89" s="1328"/>
      <c r="B89" s="416"/>
      <c r="C89" s="297">
        <v>45112781</v>
      </c>
      <c r="D89" s="575" t="s">
        <v>4029</v>
      </c>
      <c r="E89" s="177">
        <v>7870.72</v>
      </c>
      <c r="F89" s="8">
        <f t="shared" si="0"/>
        <v>4328.8960000000006</v>
      </c>
      <c r="G89" s="9">
        <f t="shared" si="1"/>
        <v>0</v>
      </c>
      <c r="H89" s="52">
        <f t="shared" si="2"/>
        <v>135.79746752000003</v>
      </c>
      <c r="I89" s="11">
        <f t="shared" si="3"/>
        <v>0</v>
      </c>
      <c r="J89" s="11">
        <f t="shared" si="4"/>
        <v>118.61175040000002</v>
      </c>
      <c r="K89" s="11">
        <f t="shared" si="5"/>
        <v>0</v>
      </c>
      <c r="L89" s="11">
        <f t="shared" si="6"/>
        <v>98.698828800000015</v>
      </c>
      <c r="M89" s="11">
        <f t="shared" si="7"/>
        <v>0</v>
      </c>
      <c r="N89" s="11">
        <f t="shared" si="8"/>
        <v>88.309478400000017</v>
      </c>
      <c r="O89" s="11">
        <f t="shared" si="9"/>
        <v>0</v>
      </c>
      <c r="P89" s="11">
        <f t="shared" si="10"/>
        <v>2.5122531491200002</v>
      </c>
      <c r="Q89" s="11">
        <f t="shared" si="11"/>
        <v>0</v>
      </c>
      <c r="R89" s="415"/>
      <c r="S89" s="415"/>
    </row>
    <row r="90" spans="1:19" s="180" customFormat="1" ht="13.5" thickBot="1">
      <c r="A90" s="1328"/>
      <c r="B90" s="416"/>
      <c r="C90" s="297" t="s">
        <v>1205</v>
      </c>
      <c r="D90" s="575" t="s">
        <v>1206</v>
      </c>
      <c r="E90" s="177">
        <v>7804.2</v>
      </c>
      <c r="F90" s="8">
        <f t="shared" si="0"/>
        <v>4292.3100000000004</v>
      </c>
      <c r="G90" s="9">
        <f t="shared" si="1"/>
        <v>0</v>
      </c>
      <c r="H90" s="52">
        <f t="shared" si="2"/>
        <v>134.64976470000002</v>
      </c>
      <c r="I90" s="11">
        <f t="shared" si="3"/>
        <v>0</v>
      </c>
      <c r="J90" s="11">
        <f t="shared" si="4"/>
        <v>117.60929400000002</v>
      </c>
      <c r="K90" s="11">
        <f t="shared" si="5"/>
        <v>0</v>
      </c>
      <c r="L90" s="11">
        <f t="shared" si="6"/>
        <v>97.864668000000009</v>
      </c>
      <c r="M90" s="11">
        <f t="shared" si="7"/>
        <v>0</v>
      </c>
      <c r="N90" s="11">
        <f t="shared" si="8"/>
        <v>87.563124000000016</v>
      </c>
      <c r="O90" s="11">
        <f t="shared" si="9"/>
        <v>0</v>
      </c>
      <c r="P90" s="11">
        <f t="shared" si="10"/>
        <v>2.49102064695</v>
      </c>
      <c r="Q90" s="11">
        <f t="shared" si="11"/>
        <v>0</v>
      </c>
      <c r="R90" s="415"/>
      <c r="S90" s="415"/>
    </row>
    <row r="91" spans="1:19" s="180" customFormat="1" ht="13.5" thickBot="1">
      <c r="A91" s="1328"/>
      <c r="B91" s="416"/>
      <c r="C91" s="797" t="s">
        <v>1405</v>
      </c>
      <c r="D91" s="960" t="s">
        <v>4030</v>
      </c>
      <c r="E91" s="172">
        <v>7449.96</v>
      </c>
      <c r="F91" s="8">
        <f t="shared" si="0"/>
        <v>4097.4780000000001</v>
      </c>
      <c r="G91" s="9">
        <f t="shared" si="1"/>
        <v>0</v>
      </c>
      <c r="H91" s="52">
        <f t="shared" si="2"/>
        <v>128.53788486000002</v>
      </c>
      <c r="I91" s="11">
        <f t="shared" si="3"/>
        <v>0</v>
      </c>
      <c r="J91" s="11">
        <f t="shared" si="4"/>
        <v>112.27089720000001</v>
      </c>
      <c r="K91" s="11">
        <f t="shared" si="5"/>
        <v>0</v>
      </c>
      <c r="L91" s="11">
        <f t="shared" si="6"/>
        <v>93.422498400000009</v>
      </c>
      <c r="M91" s="11">
        <f t="shared" si="7"/>
        <v>0</v>
      </c>
      <c r="N91" s="11">
        <f t="shared" si="8"/>
        <v>83.588551200000012</v>
      </c>
      <c r="O91" s="11">
        <f t="shared" si="9"/>
        <v>0</v>
      </c>
      <c r="P91" s="11">
        <f t="shared" si="10"/>
        <v>2.3779508699100003</v>
      </c>
      <c r="Q91" s="11">
        <f t="shared" si="11"/>
        <v>0</v>
      </c>
      <c r="R91" s="415"/>
      <c r="S91" s="415"/>
    </row>
    <row r="92" spans="1:19" s="180" customFormat="1" ht="13.5" thickBot="1">
      <c r="A92" s="1328"/>
      <c r="B92" s="416"/>
      <c r="C92" s="797" t="s">
        <v>1167</v>
      </c>
      <c r="D92" s="960" t="s">
        <v>1168</v>
      </c>
      <c r="E92" s="172">
        <v>24604.13</v>
      </c>
      <c r="F92" s="8">
        <f t="shared" si="0"/>
        <v>13532.271500000003</v>
      </c>
      <c r="G92" s="9">
        <f t="shared" si="1"/>
        <v>0</v>
      </c>
      <c r="H92" s="52">
        <f t="shared" si="2"/>
        <v>424.50735695500009</v>
      </c>
      <c r="I92" s="11">
        <f t="shared" si="3"/>
        <v>0</v>
      </c>
      <c r="J92" s="11">
        <f t="shared" si="4"/>
        <v>370.78423910000009</v>
      </c>
      <c r="K92" s="11">
        <f t="shared" si="5"/>
        <v>0</v>
      </c>
      <c r="L92" s="11">
        <f t="shared" si="6"/>
        <v>308.53579020000006</v>
      </c>
      <c r="M92" s="11">
        <f t="shared" si="7"/>
        <v>0</v>
      </c>
      <c r="N92" s="11">
        <f t="shared" si="8"/>
        <v>276.05833860000007</v>
      </c>
      <c r="O92" s="11">
        <f t="shared" si="9"/>
        <v>0</v>
      </c>
      <c r="P92" s="11">
        <f t="shared" si="10"/>
        <v>7.8533861036675017</v>
      </c>
      <c r="Q92" s="11">
        <f t="shared" si="11"/>
        <v>0</v>
      </c>
      <c r="R92" s="415"/>
      <c r="S92" s="415"/>
    </row>
    <row r="93" spans="1:19" s="180" customFormat="1" ht="13.5" thickBot="1">
      <c r="A93" s="1328"/>
      <c r="B93" s="416"/>
      <c r="C93" s="297">
        <v>7723000</v>
      </c>
      <c r="D93" s="575" t="s">
        <v>1131</v>
      </c>
      <c r="E93" s="177">
        <v>50817.919999999998</v>
      </c>
      <c r="F93" s="8">
        <f t="shared" si="0"/>
        <v>27949.856</v>
      </c>
      <c r="G93" s="9">
        <f t="shared" si="1"/>
        <v>0</v>
      </c>
      <c r="H93" s="52">
        <f t="shared" si="2"/>
        <v>876.78698272000008</v>
      </c>
      <c r="I93" s="11">
        <f t="shared" si="3"/>
        <v>0</v>
      </c>
      <c r="J93" s="11">
        <f t="shared" si="4"/>
        <v>765.82605439999998</v>
      </c>
      <c r="K93" s="11">
        <f t="shared" si="5"/>
        <v>0</v>
      </c>
      <c r="L93" s="11">
        <f t="shared" si="6"/>
        <v>637.25671680000005</v>
      </c>
      <c r="M93" s="11">
        <f t="shared" si="7"/>
        <v>0</v>
      </c>
      <c r="N93" s="11">
        <f t="shared" si="8"/>
        <v>570.17706240000007</v>
      </c>
      <c r="O93" s="11">
        <f t="shared" si="9"/>
        <v>0</v>
      </c>
      <c r="P93" s="11">
        <f t="shared" si="10"/>
        <v>16.220559180320002</v>
      </c>
      <c r="Q93" s="11">
        <f t="shared" si="11"/>
        <v>0</v>
      </c>
      <c r="R93" s="415"/>
      <c r="S93" s="415"/>
    </row>
    <row r="94" spans="1:19" s="180" customFormat="1" ht="13.5" thickBot="1">
      <c r="A94" s="1328"/>
      <c r="B94" s="416"/>
      <c r="C94" s="297" t="s">
        <v>1148</v>
      </c>
      <c r="D94" s="575" t="s">
        <v>1149</v>
      </c>
      <c r="E94" s="177">
        <v>14005.99</v>
      </c>
      <c r="F94" s="8">
        <f t="shared" si="0"/>
        <v>7703.2945000000009</v>
      </c>
      <c r="G94" s="9">
        <f t="shared" si="1"/>
        <v>0</v>
      </c>
      <c r="H94" s="52">
        <f t="shared" si="2"/>
        <v>241.65234846500005</v>
      </c>
      <c r="I94" s="11">
        <f t="shared" si="3"/>
        <v>0</v>
      </c>
      <c r="J94" s="11">
        <f t="shared" si="4"/>
        <v>211.07026930000004</v>
      </c>
      <c r="K94" s="11">
        <f t="shared" si="5"/>
        <v>0</v>
      </c>
      <c r="L94" s="11">
        <f t="shared" si="6"/>
        <v>175.63511460000004</v>
      </c>
      <c r="M94" s="11">
        <f t="shared" si="7"/>
        <v>0</v>
      </c>
      <c r="N94" s="11">
        <f t="shared" si="8"/>
        <v>157.14720780000002</v>
      </c>
      <c r="O94" s="11">
        <f t="shared" si="9"/>
        <v>0</v>
      </c>
      <c r="P94" s="11">
        <f t="shared" si="10"/>
        <v>4.4705684466025009</v>
      </c>
      <c r="Q94" s="11">
        <f t="shared" si="11"/>
        <v>0</v>
      </c>
      <c r="R94" s="415"/>
      <c r="S94" s="415"/>
    </row>
    <row r="95" spans="1:19" s="180" customFormat="1" ht="13.5" thickBot="1">
      <c r="A95" s="1328"/>
      <c r="B95" s="416"/>
      <c r="C95" s="297" t="s">
        <v>1209</v>
      </c>
      <c r="D95" s="575" t="s">
        <v>1210</v>
      </c>
      <c r="E95" s="177">
        <v>3082.28</v>
      </c>
      <c r="F95" s="8">
        <f t="shared" si="0"/>
        <v>1695.2540000000004</v>
      </c>
      <c r="G95" s="9">
        <f t="shared" si="1"/>
        <v>0</v>
      </c>
      <c r="H95" s="52">
        <f t="shared" si="2"/>
        <v>53.180117980000013</v>
      </c>
      <c r="I95" s="11">
        <f t="shared" si="3"/>
        <v>0</v>
      </c>
      <c r="J95" s="11">
        <f t="shared" si="4"/>
        <v>46.449959600000014</v>
      </c>
      <c r="K95" s="11">
        <f t="shared" si="5"/>
        <v>0</v>
      </c>
      <c r="L95" s="11">
        <f t="shared" si="6"/>
        <v>38.651791200000012</v>
      </c>
      <c r="M95" s="11">
        <f t="shared" si="7"/>
        <v>0</v>
      </c>
      <c r="N95" s="11">
        <f t="shared" si="8"/>
        <v>34.58318160000001</v>
      </c>
      <c r="O95" s="11">
        <f t="shared" si="9"/>
        <v>0</v>
      </c>
      <c r="P95" s="11">
        <f t="shared" si="10"/>
        <v>0.98383218263000016</v>
      </c>
      <c r="Q95" s="11">
        <f t="shared" si="11"/>
        <v>0</v>
      </c>
      <c r="R95" s="415"/>
      <c r="S95" s="415"/>
    </row>
    <row r="96" spans="1:19" s="180" customFormat="1" ht="13.5" thickBot="1">
      <c r="A96" s="1328"/>
      <c r="B96" s="416"/>
      <c r="C96" s="797" t="s">
        <v>1370</v>
      </c>
      <c r="D96" s="960" t="s">
        <v>1371</v>
      </c>
      <c r="E96" s="172">
        <v>95931.99</v>
      </c>
      <c r="F96" s="8">
        <f t="shared" si="0"/>
        <v>52762.594500000007</v>
      </c>
      <c r="G96" s="10">
        <f t="shared" si="1"/>
        <v>0</v>
      </c>
      <c r="H96" s="11">
        <f t="shared" si="2"/>
        <v>1655.1625894650003</v>
      </c>
      <c r="I96" s="11">
        <f t="shared" si="3"/>
        <v>0</v>
      </c>
      <c r="J96" s="11">
        <f t="shared" si="4"/>
        <v>1445.6950893000003</v>
      </c>
      <c r="K96" s="11">
        <f t="shared" si="5"/>
        <v>0</v>
      </c>
      <c r="L96" s="11">
        <f t="shared" si="6"/>
        <v>1202.9871546000002</v>
      </c>
      <c r="M96" s="11">
        <f t="shared" si="7"/>
        <v>0</v>
      </c>
      <c r="N96" s="11">
        <f t="shared" si="8"/>
        <v>1076.3569278000002</v>
      </c>
      <c r="O96" s="11">
        <f t="shared" si="9"/>
        <v>0</v>
      </c>
      <c r="P96" s="11">
        <f t="shared" si="10"/>
        <v>30.620507905102503</v>
      </c>
      <c r="Q96" s="11">
        <f t="shared" si="11"/>
        <v>0</v>
      </c>
      <c r="R96" s="415"/>
      <c r="S96" s="415"/>
    </row>
    <row r="97" spans="1:19" s="180" customFormat="1" ht="13.5" thickBot="1">
      <c r="A97" s="1328"/>
      <c r="B97" s="416"/>
      <c r="C97" s="297" t="s">
        <v>4115</v>
      </c>
      <c r="D97" s="575" t="s">
        <v>4116</v>
      </c>
      <c r="E97" s="177">
        <v>5200</v>
      </c>
      <c r="F97" s="8">
        <f t="shared" si="0"/>
        <v>2860.0000000000005</v>
      </c>
      <c r="G97" s="9">
        <f t="shared" si="1"/>
        <v>0</v>
      </c>
      <c r="H97" s="52">
        <f t="shared" si="2"/>
        <v>89.718200000000024</v>
      </c>
      <c r="I97" s="11">
        <f t="shared" si="3"/>
        <v>0</v>
      </c>
      <c r="J97" s="11">
        <f t="shared" si="4"/>
        <v>78.364000000000019</v>
      </c>
      <c r="K97" s="11">
        <f t="shared" si="5"/>
        <v>0</v>
      </c>
      <c r="L97" s="11">
        <f t="shared" si="6"/>
        <v>65.208000000000013</v>
      </c>
      <c r="M97" s="11">
        <f t="shared" si="7"/>
        <v>0</v>
      </c>
      <c r="N97" s="11">
        <f t="shared" si="8"/>
        <v>58.344000000000015</v>
      </c>
      <c r="O97" s="11">
        <f t="shared" si="9"/>
        <v>0</v>
      </c>
      <c r="P97" s="11">
        <f t="shared" si="10"/>
        <v>1.6597867000000004</v>
      </c>
      <c r="Q97" s="11">
        <f t="shared" si="11"/>
        <v>0</v>
      </c>
      <c r="R97" s="415"/>
      <c r="S97" s="415"/>
    </row>
    <row r="98" spans="1:19" s="175" customFormat="1" ht="13.5" thickBot="1">
      <c r="A98" s="1328"/>
      <c r="B98" s="416"/>
      <c r="C98" s="797" t="s">
        <v>4117</v>
      </c>
      <c r="D98" s="960" t="s">
        <v>4118</v>
      </c>
      <c r="E98" s="172">
        <v>45636.39</v>
      </c>
      <c r="F98" s="8">
        <f t="shared" si="0"/>
        <v>25100.014500000001</v>
      </c>
      <c r="G98" s="9">
        <f t="shared" si="1"/>
        <v>0</v>
      </c>
      <c r="H98" s="52">
        <f t="shared" si="2"/>
        <v>787.38745486500011</v>
      </c>
      <c r="I98" s="11">
        <f t="shared" si="3"/>
        <v>0</v>
      </c>
      <c r="J98" s="11">
        <f t="shared" si="4"/>
        <v>687.74039730000004</v>
      </c>
      <c r="K98" s="11">
        <f t="shared" si="5"/>
        <v>0</v>
      </c>
      <c r="L98" s="11">
        <f t="shared" si="6"/>
        <v>572.28033060000007</v>
      </c>
      <c r="M98" s="11">
        <f t="shared" si="7"/>
        <v>0</v>
      </c>
      <c r="N98" s="11">
        <f t="shared" si="8"/>
        <v>512.04029580000008</v>
      </c>
      <c r="O98" s="11">
        <f t="shared" si="9"/>
        <v>0</v>
      </c>
      <c r="P98" s="11">
        <f t="shared" si="10"/>
        <v>14.566667915002501</v>
      </c>
      <c r="Q98" s="11">
        <f t="shared" si="11"/>
        <v>0</v>
      </c>
      <c r="R98" s="892"/>
      <c r="S98" s="892"/>
    </row>
    <row r="99" spans="1:19" s="175" customFormat="1" ht="13.5" thickBot="1">
      <c r="A99" s="1328"/>
      <c r="B99" s="416"/>
      <c r="C99" s="297" t="s">
        <v>4119</v>
      </c>
      <c r="D99" s="575" t="s">
        <v>4120</v>
      </c>
      <c r="E99" s="177">
        <v>5200</v>
      </c>
      <c r="F99" s="8">
        <f t="shared" si="0"/>
        <v>2860.0000000000005</v>
      </c>
      <c r="G99" s="9">
        <f t="shared" si="1"/>
        <v>0</v>
      </c>
      <c r="H99" s="52">
        <f t="shared" si="2"/>
        <v>89.718200000000024</v>
      </c>
      <c r="I99" s="11">
        <f t="shared" si="3"/>
        <v>0</v>
      </c>
      <c r="J99" s="11">
        <f t="shared" si="4"/>
        <v>78.364000000000019</v>
      </c>
      <c r="K99" s="11">
        <f t="shared" si="5"/>
        <v>0</v>
      </c>
      <c r="L99" s="11">
        <f t="shared" si="6"/>
        <v>65.208000000000013</v>
      </c>
      <c r="M99" s="11">
        <f t="shared" si="7"/>
        <v>0</v>
      </c>
      <c r="N99" s="11">
        <f t="shared" si="8"/>
        <v>58.344000000000015</v>
      </c>
      <c r="O99" s="11">
        <f t="shared" si="9"/>
        <v>0</v>
      </c>
      <c r="P99" s="11">
        <f t="shared" si="10"/>
        <v>1.6597867000000004</v>
      </c>
      <c r="Q99" s="11">
        <f t="shared" si="11"/>
        <v>0</v>
      </c>
      <c r="R99" s="892"/>
      <c r="S99" s="892"/>
    </row>
    <row r="100" spans="1:19" s="175" customFormat="1" ht="13.5" thickBot="1">
      <c r="A100" s="1328"/>
      <c r="B100" s="416"/>
      <c r="C100" s="297" t="s">
        <v>4121</v>
      </c>
      <c r="D100" s="575" t="s">
        <v>4122</v>
      </c>
      <c r="E100" s="177">
        <v>5200</v>
      </c>
      <c r="F100" s="8">
        <f t="shared" si="0"/>
        <v>2860.0000000000005</v>
      </c>
      <c r="G100" s="9">
        <f t="shared" si="1"/>
        <v>0</v>
      </c>
      <c r="H100" s="52">
        <f t="shared" si="2"/>
        <v>89.718200000000024</v>
      </c>
      <c r="I100" s="11">
        <f t="shared" si="3"/>
        <v>0</v>
      </c>
      <c r="J100" s="11">
        <f t="shared" si="4"/>
        <v>78.364000000000019</v>
      </c>
      <c r="K100" s="11">
        <f t="shared" si="5"/>
        <v>0</v>
      </c>
      <c r="L100" s="11">
        <f t="shared" si="6"/>
        <v>65.208000000000013</v>
      </c>
      <c r="M100" s="11">
        <f t="shared" si="7"/>
        <v>0</v>
      </c>
      <c r="N100" s="11">
        <f t="shared" si="8"/>
        <v>58.344000000000015</v>
      </c>
      <c r="O100" s="11">
        <f t="shared" si="9"/>
        <v>0</v>
      </c>
      <c r="P100" s="11">
        <f t="shared" si="10"/>
        <v>1.6597867000000004</v>
      </c>
      <c r="Q100" s="11">
        <f t="shared" si="11"/>
        <v>0</v>
      </c>
      <c r="R100" s="892"/>
      <c r="S100" s="892"/>
    </row>
    <row r="101" spans="1:19" s="180" customFormat="1" ht="13.5" thickBot="1">
      <c r="A101" s="1328"/>
      <c r="B101" s="416"/>
      <c r="C101" s="797" t="s">
        <v>4123</v>
      </c>
      <c r="D101" s="960" t="s">
        <v>4124</v>
      </c>
      <c r="E101" s="172">
        <v>9995</v>
      </c>
      <c r="F101" s="8">
        <f t="shared" si="0"/>
        <v>5497.25</v>
      </c>
      <c r="G101" s="9">
        <f t="shared" si="1"/>
        <v>0</v>
      </c>
      <c r="H101" s="52">
        <f t="shared" si="2"/>
        <v>172.44873250000001</v>
      </c>
      <c r="I101" s="11">
        <f t="shared" si="3"/>
        <v>0</v>
      </c>
      <c r="J101" s="11">
        <f t="shared" si="4"/>
        <v>150.62465</v>
      </c>
      <c r="K101" s="11">
        <f t="shared" si="5"/>
        <v>0</v>
      </c>
      <c r="L101" s="11">
        <f t="shared" si="6"/>
        <v>125.3373</v>
      </c>
      <c r="M101" s="11">
        <f t="shared" si="7"/>
        <v>0</v>
      </c>
      <c r="N101" s="11">
        <f t="shared" si="8"/>
        <v>112.1439</v>
      </c>
      <c r="O101" s="11">
        <f t="shared" si="9"/>
        <v>0</v>
      </c>
      <c r="P101" s="11">
        <f t="shared" si="10"/>
        <v>3.1903015512500001</v>
      </c>
      <c r="Q101" s="11">
        <f t="shared" si="11"/>
        <v>0</v>
      </c>
      <c r="R101" s="415"/>
      <c r="S101" s="415"/>
    </row>
    <row r="102" spans="1:19" s="180" customFormat="1" ht="13.5" thickBot="1">
      <c r="A102" s="1328"/>
      <c r="B102" s="416"/>
      <c r="C102" s="797" t="s">
        <v>4125</v>
      </c>
      <c r="D102" s="960" t="s">
        <v>4126</v>
      </c>
      <c r="E102" s="172">
        <v>49558.77</v>
      </c>
      <c r="F102" s="8">
        <f t="shared" si="0"/>
        <v>27257.323500000002</v>
      </c>
      <c r="G102" s="9">
        <f t="shared" si="1"/>
        <v>0</v>
      </c>
      <c r="H102" s="52">
        <f t="shared" si="2"/>
        <v>855.06223819500008</v>
      </c>
      <c r="I102" s="11">
        <f t="shared" si="3"/>
        <v>0</v>
      </c>
      <c r="J102" s="11">
        <f t="shared" si="4"/>
        <v>746.85066390000009</v>
      </c>
      <c r="K102" s="11">
        <f t="shared" si="5"/>
        <v>0</v>
      </c>
      <c r="L102" s="11">
        <f t="shared" si="6"/>
        <v>621.46697580000011</v>
      </c>
      <c r="M102" s="11">
        <f t="shared" si="7"/>
        <v>0</v>
      </c>
      <c r="N102" s="11">
        <f t="shared" si="8"/>
        <v>556.04939940000008</v>
      </c>
      <c r="O102" s="11">
        <f t="shared" si="9"/>
        <v>0</v>
      </c>
      <c r="P102" s="11">
        <f t="shared" si="10"/>
        <v>15.818651406607501</v>
      </c>
      <c r="Q102" s="11">
        <f t="shared" si="11"/>
        <v>0</v>
      </c>
      <c r="R102" s="415"/>
      <c r="S102" s="415"/>
    </row>
    <row r="103" spans="1:19" s="180" customFormat="1" ht="13.5" thickBot="1">
      <c r="A103" s="1328"/>
      <c r="B103" s="416"/>
      <c r="C103" s="797" t="s">
        <v>4127</v>
      </c>
      <c r="D103" s="960" t="s">
        <v>4128</v>
      </c>
      <c r="E103" s="172">
        <v>90485.47</v>
      </c>
      <c r="F103" s="8">
        <f t="shared" si="0"/>
        <v>49767.008500000004</v>
      </c>
      <c r="G103" s="10">
        <f t="shared" si="1"/>
        <v>0</v>
      </c>
      <c r="H103" s="11">
        <f t="shared" si="2"/>
        <v>1561.1910566450001</v>
      </c>
      <c r="I103" s="11">
        <f t="shared" si="3"/>
        <v>0</v>
      </c>
      <c r="J103" s="11">
        <f t="shared" si="4"/>
        <v>1363.6160329000002</v>
      </c>
      <c r="K103" s="11">
        <f t="shared" si="5"/>
        <v>0</v>
      </c>
      <c r="L103" s="11">
        <f t="shared" si="6"/>
        <v>1134.6877938</v>
      </c>
      <c r="M103" s="11">
        <f t="shared" si="7"/>
        <v>0</v>
      </c>
      <c r="N103" s="11">
        <f t="shared" si="8"/>
        <v>1015.2469734000001</v>
      </c>
      <c r="O103" s="11">
        <f t="shared" si="9"/>
        <v>0</v>
      </c>
      <c r="P103" s="11">
        <f t="shared" si="10"/>
        <v>28.882034547932502</v>
      </c>
      <c r="Q103" s="11">
        <f t="shared" si="11"/>
        <v>0</v>
      </c>
      <c r="R103" s="415"/>
      <c r="S103" s="415"/>
    </row>
    <row r="104" spans="1:19" s="180" customFormat="1" ht="13.5" thickBot="1">
      <c r="A104" s="1328"/>
      <c r="B104" s="416"/>
      <c r="C104" s="797" t="s">
        <v>1311</v>
      </c>
      <c r="D104" s="960" t="s">
        <v>1154</v>
      </c>
      <c r="E104" s="172">
        <v>2061.2600000000002</v>
      </c>
      <c r="F104" s="8">
        <f t="shared" ref="F104:F159" si="24">E104*(1-45%)</f>
        <v>1133.6930000000002</v>
      </c>
      <c r="G104" s="10">
        <f t="shared" ref="G104:G159" si="25">F104*B104</f>
        <v>0</v>
      </c>
      <c r="H104" s="11">
        <f t="shared" ref="H104:H159" si="26">F104*0.03137</f>
        <v>35.563949410000006</v>
      </c>
      <c r="I104" s="11">
        <f t="shared" ref="I104:I159" si="27">H104*B104</f>
        <v>0</v>
      </c>
      <c r="J104" s="11">
        <f t="shared" ref="J104:J134" si="28">F104*0.0274</f>
        <v>31.063188200000006</v>
      </c>
      <c r="K104" s="11">
        <f t="shared" ref="K104:K159" si="29">J104*B104</f>
        <v>0</v>
      </c>
      <c r="L104" s="11">
        <f t="shared" ref="L104:L134" si="30">F104*0.0228</f>
        <v>25.848200400000007</v>
      </c>
      <c r="M104" s="11">
        <f t="shared" ref="M104:M159" si="31">L104*B104</f>
        <v>0</v>
      </c>
      <c r="N104" s="11">
        <f t="shared" ref="N104:N159" si="32">F104*0.0204</f>
        <v>23.127337200000007</v>
      </c>
      <c r="O104" s="11">
        <f t="shared" ref="O104:O159" si="33">N104*B104</f>
        <v>0</v>
      </c>
      <c r="P104" s="11">
        <f t="shared" ref="P104:P115" si="34">H104*0.0185</f>
        <v>0.65793306408500007</v>
      </c>
      <c r="Q104" s="11">
        <f t="shared" ref="Q104:Q159" si="35">P104*B104</f>
        <v>0</v>
      </c>
      <c r="R104" s="415"/>
      <c r="S104" s="415"/>
    </row>
    <row r="105" spans="1:19" s="180" customFormat="1" ht="13.5" thickBot="1">
      <c r="A105" s="1328"/>
      <c r="B105" s="416"/>
      <c r="C105" s="173" t="s">
        <v>4129</v>
      </c>
      <c r="D105" s="960" t="s">
        <v>4130</v>
      </c>
      <c r="E105" s="172">
        <v>18031.2</v>
      </c>
      <c r="F105" s="8">
        <f t="shared" si="24"/>
        <v>9917.1600000000017</v>
      </c>
      <c r="G105" s="10">
        <f t="shared" si="25"/>
        <v>0</v>
      </c>
      <c r="H105" s="11">
        <f t="shared" si="26"/>
        <v>311.10130920000006</v>
      </c>
      <c r="I105" s="11">
        <f t="shared" si="27"/>
        <v>0</v>
      </c>
      <c r="J105" s="11">
        <f t="shared" si="28"/>
        <v>271.73018400000007</v>
      </c>
      <c r="K105" s="11">
        <f t="shared" si="29"/>
        <v>0</v>
      </c>
      <c r="L105" s="11">
        <f t="shared" si="30"/>
        <v>226.11124800000005</v>
      </c>
      <c r="M105" s="11">
        <f t="shared" si="31"/>
        <v>0</v>
      </c>
      <c r="N105" s="11">
        <f t="shared" si="32"/>
        <v>202.31006400000004</v>
      </c>
      <c r="O105" s="11">
        <f t="shared" si="33"/>
        <v>0</v>
      </c>
      <c r="P105" s="11">
        <f t="shared" si="34"/>
        <v>5.7553742202000011</v>
      </c>
      <c r="Q105" s="11">
        <f t="shared" si="35"/>
        <v>0</v>
      </c>
      <c r="R105" s="415"/>
      <c r="S105" s="415"/>
    </row>
    <row r="106" spans="1:19" s="180" customFormat="1" ht="13.5" thickBot="1">
      <c r="A106" s="1328"/>
      <c r="B106" s="416"/>
      <c r="C106" s="797" t="s">
        <v>4131</v>
      </c>
      <c r="D106" s="960" t="s">
        <v>4132</v>
      </c>
      <c r="E106" s="172">
        <v>13543.19</v>
      </c>
      <c r="F106" s="8">
        <f t="shared" si="24"/>
        <v>7448.7545000000009</v>
      </c>
      <c r="G106" s="10">
        <f t="shared" si="25"/>
        <v>0</v>
      </c>
      <c r="H106" s="11">
        <f t="shared" si="26"/>
        <v>233.66742866500005</v>
      </c>
      <c r="I106" s="11">
        <f t="shared" si="27"/>
        <v>0</v>
      </c>
      <c r="J106" s="11">
        <f t="shared" si="28"/>
        <v>204.09587330000002</v>
      </c>
      <c r="K106" s="11">
        <f t="shared" si="29"/>
        <v>0</v>
      </c>
      <c r="L106" s="11">
        <f t="shared" si="30"/>
        <v>169.83160260000002</v>
      </c>
      <c r="M106" s="11">
        <f t="shared" si="31"/>
        <v>0</v>
      </c>
      <c r="N106" s="11">
        <f t="shared" si="32"/>
        <v>151.95459180000003</v>
      </c>
      <c r="O106" s="11">
        <f t="shared" si="33"/>
        <v>0</v>
      </c>
      <c r="P106" s="11">
        <f t="shared" si="34"/>
        <v>4.3228474303025006</v>
      </c>
      <c r="Q106" s="11">
        <f t="shared" si="35"/>
        <v>0</v>
      </c>
      <c r="R106" s="415"/>
      <c r="S106" s="415"/>
    </row>
    <row r="107" spans="1:19" s="180" customFormat="1" ht="13.5" thickBot="1">
      <c r="A107" s="1328"/>
      <c r="B107" s="416"/>
      <c r="C107" s="797" t="s">
        <v>4133</v>
      </c>
      <c r="D107" s="960" t="s">
        <v>4134</v>
      </c>
      <c r="E107" s="172">
        <v>22023.759999999998</v>
      </c>
      <c r="F107" s="8">
        <f t="shared" si="24"/>
        <v>12113.067999999999</v>
      </c>
      <c r="G107" s="10">
        <f t="shared" si="25"/>
        <v>0</v>
      </c>
      <c r="H107" s="11">
        <f t="shared" si="26"/>
        <v>379.98694316000001</v>
      </c>
      <c r="I107" s="11">
        <f t="shared" si="27"/>
        <v>0</v>
      </c>
      <c r="J107" s="11">
        <f t="shared" si="28"/>
        <v>331.89806319999997</v>
      </c>
      <c r="K107" s="11">
        <f t="shared" si="29"/>
        <v>0</v>
      </c>
      <c r="L107" s="11">
        <f t="shared" si="30"/>
        <v>276.17795039999999</v>
      </c>
      <c r="M107" s="11">
        <f t="shared" si="31"/>
        <v>0</v>
      </c>
      <c r="N107" s="11">
        <f t="shared" si="32"/>
        <v>247.10658720000001</v>
      </c>
      <c r="O107" s="11">
        <f t="shared" si="33"/>
        <v>0</v>
      </c>
      <c r="P107" s="11">
        <f t="shared" si="34"/>
        <v>7.02975844846</v>
      </c>
      <c r="Q107" s="11">
        <f t="shared" si="35"/>
        <v>0</v>
      </c>
      <c r="R107" s="415"/>
      <c r="S107" s="415"/>
    </row>
    <row r="108" spans="1:19" s="180" customFormat="1" ht="13.5" thickBot="1">
      <c r="A108" s="1328"/>
      <c r="B108" s="873"/>
      <c r="C108" s="173" t="s">
        <v>4135</v>
      </c>
      <c r="D108" s="960" t="s">
        <v>4136</v>
      </c>
      <c r="E108" s="174">
        <v>34034.01</v>
      </c>
      <c r="F108" s="52">
        <f t="shared" si="24"/>
        <v>18718.705500000004</v>
      </c>
      <c r="G108" s="54">
        <f t="shared" si="25"/>
        <v>0</v>
      </c>
      <c r="H108" s="11">
        <f t="shared" si="26"/>
        <v>587.20579153500012</v>
      </c>
      <c r="I108" s="11">
        <f t="shared" si="27"/>
        <v>0</v>
      </c>
      <c r="J108" s="11">
        <f t="shared" si="28"/>
        <v>512.89253070000007</v>
      </c>
      <c r="K108" s="11">
        <f t="shared" si="29"/>
        <v>0</v>
      </c>
      <c r="L108" s="11">
        <f t="shared" si="30"/>
        <v>426.78648540000012</v>
      </c>
      <c r="M108" s="11">
        <f t="shared" si="31"/>
        <v>0</v>
      </c>
      <c r="N108" s="11">
        <f t="shared" si="32"/>
        <v>381.86159220000008</v>
      </c>
      <c r="O108" s="11">
        <f t="shared" si="33"/>
        <v>0</v>
      </c>
      <c r="P108" s="11">
        <f t="shared" si="34"/>
        <v>10.863307143397501</v>
      </c>
      <c r="Q108" s="11">
        <f t="shared" si="35"/>
        <v>0</v>
      </c>
      <c r="R108" s="415"/>
      <c r="S108" s="415"/>
    </row>
    <row r="109" spans="1:19" s="180" customFormat="1" ht="13.5" thickBot="1">
      <c r="A109" s="1328"/>
      <c r="B109" s="416"/>
      <c r="C109" s="891" t="s">
        <v>1221</v>
      </c>
      <c r="D109" s="575" t="s">
        <v>1222</v>
      </c>
      <c r="E109" s="177">
        <v>1479.88</v>
      </c>
      <c r="F109" s="8">
        <f t="shared" si="24"/>
        <v>813.93400000000008</v>
      </c>
      <c r="G109" s="10">
        <f t="shared" si="25"/>
        <v>0</v>
      </c>
      <c r="H109" s="11">
        <f t="shared" si="26"/>
        <v>25.533109580000005</v>
      </c>
      <c r="I109" s="11">
        <f t="shared" si="27"/>
        <v>0</v>
      </c>
      <c r="J109" s="11">
        <f t="shared" si="28"/>
        <v>22.301791600000001</v>
      </c>
      <c r="K109" s="11">
        <f t="shared" si="29"/>
        <v>0</v>
      </c>
      <c r="L109" s="11">
        <f t="shared" si="30"/>
        <v>18.557695200000001</v>
      </c>
      <c r="M109" s="11">
        <f t="shared" si="31"/>
        <v>0</v>
      </c>
      <c r="N109" s="11">
        <f t="shared" si="32"/>
        <v>16.604253600000003</v>
      </c>
      <c r="O109" s="11">
        <f t="shared" si="33"/>
        <v>0</v>
      </c>
      <c r="P109" s="11">
        <f t="shared" si="34"/>
        <v>0.47236252723000005</v>
      </c>
      <c r="Q109" s="11">
        <f t="shared" si="35"/>
        <v>0</v>
      </c>
      <c r="R109" s="415"/>
      <c r="S109" s="415"/>
    </row>
    <row r="110" spans="1:19" s="180" customFormat="1" ht="13.5" thickBot="1">
      <c r="A110" s="1328"/>
      <c r="B110" s="416"/>
      <c r="C110" s="297" t="s">
        <v>3992</v>
      </c>
      <c r="D110" s="575" t="s">
        <v>3993</v>
      </c>
      <c r="E110" s="177">
        <v>1100</v>
      </c>
      <c r="F110" s="8">
        <f t="shared" si="24"/>
        <v>605</v>
      </c>
      <c r="G110" s="10">
        <f t="shared" si="25"/>
        <v>0</v>
      </c>
      <c r="H110" s="11">
        <f t="shared" si="26"/>
        <v>18.978850000000001</v>
      </c>
      <c r="I110" s="11">
        <f t="shared" si="27"/>
        <v>0</v>
      </c>
      <c r="J110" s="11">
        <f t="shared" si="28"/>
        <v>16.577000000000002</v>
      </c>
      <c r="K110" s="11">
        <f t="shared" si="29"/>
        <v>0</v>
      </c>
      <c r="L110" s="11">
        <f t="shared" si="30"/>
        <v>13.794</v>
      </c>
      <c r="M110" s="11">
        <f t="shared" si="31"/>
        <v>0</v>
      </c>
      <c r="N110" s="11">
        <f t="shared" si="32"/>
        <v>12.342000000000001</v>
      </c>
      <c r="O110" s="11">
        <f t="shared" si="33"/>
        <v>0</v>
      </c>
      <c r="P110" s="11">
        <f t="shared" si="34"/>
        <v>0.35110872500000001</v>
      </c>
      <c r="Q110" s="11">
        <f t="shared" si="35"/>
        <v>0</v>
      </c>
      <c r="R110" s="415"/>
      <c r="S110" s="415"/>
    </row>
    <row r="111" spans="1:19" s="180" customFormat="1" ht="13.5" thickBot="1">
      <c r="A111" s="1328"/>
      <c r="B111" s="416"/>
      <c r="C111" s="173" t="s">
        <v>3994</v>
      </c>
      <c r="D111" s="960" t="s">
        <v>3995</v>
      </c>
      <c r="E111" s="172">
        <v>1100</v>
      </c>
      <c r="F111" s="8">
        <f t="shared" si="24"/>
        <v>605</v>
      </c>
      <c r="G111" s="10">
        <f t="shared" si="25"/>
        <v>0</v>
      </c>
      <c r="H111" s="11">
        <f t="shared" si="26"/>
        <v>18.978850000000001</v>
      </c>
      <c r="I111" s="11">
        <f t="shared" si="27"/>
        <v>0</v>
      </c>
      <c r="J111" s="11">
        <f t="shared" si="28"/>
        <v>16.577000000000002</v>
      </c>
      <c r="K111" s="11">
        <f t="shared" si="29"/>
        <v>0</v>
      </c>
      <c r="L111" s="11">
        <f t="shared" si="30"/>
        <v>13.794</v>
      </c>
      <c r="M111" s="11">
        <f t="shared" si="31"/>
        <v>0</v>
      </c>
      <c r="N111" s="11">
        <f t="shared" si="32"/>
        <v>12.342000000000001</v>
      </c>
      <c r="O111" s="11">
        <f t="shared" si="33"/>
        <v>0</v>
      </c>
      <c r="P111" s="11">
        <f t="shared" si="34"/>
        <v>0.35110872500000001</v>
      </c>
      <c r="Q111" s="11">
        <f t="shared" si="35"/>
        <v>0</v>
      </c>
      <c r="R111" s="415"/>
      <c r="S111" s="415"/>
    </row>
    <row r="112" spans="1:19" s="180" customFormat="1" ht="13.5" thickBot="1">
      <c r="A112" s="1328"/>
      <c r="B112" s="416"/>
      <c r="C112" s="797" t="s">
        <v>3996</v>
      </c>
      <c r="D112" s="960" t="s">
        <v>3997</v>
      </c>
      <c r="E112" s="172">
        <v>550</v>
      </c>
      <c r="F112" s="8">
        <f t="shared" si="24"/>
        <v>302.5</v>
      </c>
      <c r="G112" s="10">
        <f t="shared" si="25"/>
        <v>0</v>
      </c>
      <c r="H112" s="11">
        <f t="shared" si="26"/>
        <v>9.4894250000000007</v>
      </c>
      <c r="I112" s="11">
        <f t="shared" si="27"/>
        <v>0</v>
      </c>
      <c r="J112" s="11">
        <f t="shared" si="28"/>
        <v>8.2885000000000009</v>
      </c>
      <c r="K112" s="11">
        <f t="shared" si="29"/>
        <v>0</v>
      </c>
      <c r="L112" s="11">
        <f t="shared" si="30"/>
        <v>6.8970000000000002</v>
      </c>
      <c r="M112" s="11">
        <f t="shared" si="31"/>
        <v>0</v>
      </c>
      <c r="N112" s="11">
        <f t="shared" si="32"/>
        <v>6.1710000000000003</v>
      </c>
      <c r="O112" s="11">
        <f t="shared" si="33"/>
        <v>0</v>
      </c>
      <c r="P112" s="11">
        <f t="shared" si="34"/>
        <v>0.17555436250000001</v>
      </c>
      <c r="Q112" s="11">
        <f t="shared" si="35"/>
        <v>0</v>
      </c>
      <c r="R112" s="415"/>
      <c r="S112" s="415"/>
    </row>
    <row r="113" spans="1:19" s="180" customFormat="1" ht="13.5" thickBot="1">
      <c r="A113" s="1328"/>
      <c r="B113" s="416"/>
      <c r="C113" s="797" t="s">
        <v>1223</v>
      </c>
      <c r="D113" s="960" t="s">
        <v>1224</v>
      </c>
      <c r="E113" s="172">
        <v>1177.18</v>
      </c>
      <c r="F113" s="8">
        <f t="shared" si="24"/>
        <v>647.44900000000007</v>
      </c>
      <c r="G113" s="10">
        <f t="shared" si="25"/>
        <v>0</v>
      </c>
      <c r="H113" s="11">
        <f t="shared" si="26"/>
        <v>20.310475130000004</v>
      </c>
      <c r="I113" s="11">
        <f t="shared" si="27"/>
        <v>0</v>
      </c>
      <c r="J113" s="11">
        <f t="shared" si="28"/>
        <v>17.740102600000004</v>
      </c>
      <c r="K113" s="11">
        <f t="shared" si="29"/>
        <v>0</v>
      </c>
      <c r="L113" s="11">
        <f t="shared" si="30"/>
        <v>14.761837200000002</v>
      </c>
      <c r="M113" s="11">
        <f t="shared" si="31"/>
        <v>0</v>
      </c>
      <c r="N113" s="11">
        <f t="shared" si="32"/>
        <v>13.207959600000002</v>
      </c>
      <c r="O113" s="11">
        <f t="shared" si="33"/>
        <v>0</v>
      </c>
      <c r="P113" s="11">
        <f t="shared" si="34"/>
        <v>0.37574378990500007</v>
      </c>
      <c r="Q113" s="11">
        <f t="shared" si="35"/>
        <v>0</v>
      </c>
      <c r="R113" s="415"/>
      <c r="S113" s="415"/>
    </row>
    <row r="114" spans="1:19" s="180" customFormat="1" ht="13.5" thickBot="1">
      <c r="A114" s="1328"/>
      <c r="B114" s="416"/>
      <c r="C114" s="797" t="s">
        <v>1312</v>
      </c>
      <c r="D114" s="960" t="s">
        <v>3998</v>
      </c>
      <c r="E114" s="172">
        <v>384.77</v>
      </c>
      <c r="F114" s="8">
        <f t="shared" si="24"/>
        <v>211.62350000000001</v>
      </c>
      <c r="G114" s="10">
        <f t="shared" si="25"/>
        <v>0</v>
      </c>
      <c r="H114" s="11">
        <f t="shared" si="26"/>
        <v>6.6386291950000009</v>
      </c>
      <c r="I114" s="11">
        <f t="shared" si="27"/>
        <v>0</v>
      </c>
      <c r="J114" s="11">
        <f t="shared" si="28"/>
        <v>5.7984838999999999</v>
      </c>
      <c r="K114" s="11">
        <f t="shared" si="29"/>
        <v>0</v>
      </c>
      <c r="L114" s="11">
        <f t="shared" si="30"/>
        <v>4.8250158000000001</v>
      </c>
      <c r="M114" s="11">
        <f t="shared" si="31"/>
        <v>0</v>
      </c>
      <c r="N114" s="11">
        <f t="shared" si="32"/>
        <v>4.3171194000000002</v>
      </c>
      <c r="O114" s="11">
        <f t="shared" si="33"/>
        <v>0</v>
      </c>
      <c r="P114" s="11">
        <f t="shared" si="34"/>
        <v>0.12281464010750001</v>
      </c>
      <c r="Q114" s="11">
        <f t="shared" si="35"/>
        <v>0</v>
      </c>
      <c r="R114" s="415"/>
      <c r="S114" s="415"/>
    </row>
    <row r="115" spans="1:19" s="180" customFormat="1" ht="13.5" thickBot="1">
      <c r="A115" s="1328"/>
      <c r="B115" s="416"/>
      <c r="C115" s="173" t="s">
        <v>1225</v>
      </c>
      <c r="D115" s="960" t="s">
        <v>1226</v>
      </c>
      <c r="E115" s="172">
        <v>27684.06</v>
      </c>
      <c r="F115" s="8">
        <f t="shared" si="24"/>
        <v>15226.233000000002</v>
      </c>
      <c r="G115" s="10">
        <f t="shared" si="25"/>
        <v>0</v>
      </c>
      <c r="H115" s="11">
        <f t="shared" si="26"/>
        <v>477.64692921000011</v>
      </c>
      <c r="I115" s="11">
        <f t="shared" si="27"/>
        <v>0</v>
      </c>
      <c r="J115" s="11">
        <f t="shared" si="28"/>
        <v>417.19878420000009</v>
      </c>
      <c r="K115" s="11">
        <f t="shared" si="29"/>
        <v>0</v>
      </c>
      <c r="L115" s="11">
        <f t="shared" si="30"/>
        <v>347.15811240000005</v>
      </c>
      <c r="M115" s="11">
        <f t="shared" si="31"/>
        <v>0</v>
      </c>
      <c r="N115" s="11">
        <f t="shared" si="32"/>
        <v>310.61515320000007</v>
      </c>
      <c r="O115" s="11">
        <f t="shared" si="33"/>
        <v>0</v>
      </c>
      <c r="P115" s="11">
        <f t="shared" si="34"/>
        <v>8.836468190385002</v>
      </c>
      <c r="Q115" s="11">
        <f t="shared" si="35"/>
        <v>0</v>
      </c>
      <c r="R115" s="415"/>
      <c r="S115" s="415"/>
    </row>
    <row r="116" spans="1:19" s="180" customFormat="1" ht="13.5" thickBot="1">
      <c r="A116" s="1328"/>
      <c r="B116" s="416"/>
      <c r="C116" s="173" t="s">
        <v>4137</v>
      </c>
      <c r="D116" s="960" t="s">
        <v>1379</v>
      </c>
      <c r="E116" s="172">
        <v>5627.62</v>
      </c>
      <c r="F116" s="8">
        <f t="shared" si="24"/>
        <v>3095.1910000000003</v>
      </c>
      <c r="G116" s="9">
        <f t="shared" si="25"/>
        <v>0</v>
      </c>
      <c r="H116" s="52">
        <f t="shared" si="26"/>
        <v>97.096141670000009</v>
      </c>
      <c r="I116" s="11">
        <f t="shared" si="27"/>
        <v>0</v>
      </c>
      <c r="J116" s="11">
        <f t="shared" si="28"/>
        <v>84.808233400000006</v>
      </c>
      <c r="K116" s="11">
        <f t="shared" si="29"/>
        <v>0</v>
      </c>
      <c r="L116" s="11">
        <f t="shared" si="30"/>
        <v>70.570354800000004</v>
      </c>
      <c r="M116" s="11">
        <f t="shared" si="31"/>
        <v>0</v>
      </c>
      <c r="N116" s="11">
        <f t="shared" si="32"/>
        <v>63.141896400000007</v>
      </c>
      <c r="O116" s="11">
        <f t="shared" si="33"/>
        <v>0</v>
      </c>
      <c r="P116" s="11">
        <f>F116*0.0185</f>
        <v>57.261033500000003</v>
      </c>
      <c r="Q116" s="11">
        <f t="shared" si="35"/>
        <v>0</v>
      </c>
      <c r="R116" s="415"/>
      <c r="S116" s="415"/>
    </row>
    <row r="117" spans="1:19" s="180" customFormat="1" ht="13.5" thickBot="1">
      <c r="A117" s="1328"/>
      <c r="B117" s="416"/>
      <c r="C117" s="797" t="s">
        <v>1138</v>
      </c>
      <c r="D117" s="960" t="s">
        <v>1139</v>
      </c>
      <c r="E117" s="172">
        <v>588.59</v>
      </c>
      <c r="F117" s="8">
        <f t="shared" si="24"/>
        <v>323.72450000000003</v>
      </c>
      <c r="G117" s="9">
        <f t="shared" si="25"/>
        <v>0</v>
      </c>
      <c r="H117" s="52">
        <f t="shared" si="26"/>
        <v>10.155237565000002</v>
      </c>
      <c r="I117" s="11">
        <f t="shared" si="27"/>
        <v>0</v>
      </c>
      <c r="J117" s="11">
        <f t="shared" si="28"/>
        <v>8.8700513000000019</v>
      </c>
      <c r="K117" s="11">
        <f t="shared" si="29"/>
        <v>0</v>
      </c>
      <c r="L117" s="11">
        <f t="shared" si="30"/>
        <v>7.3809186000000011</v>
      </c>
      <c r="M117" s="11">
        <f t="shared" si="31"/>
        <v>0</v>
      </c>
      <c r="N117" s="11">
        <f t="shared" si="32"/>
        <v>6.6039798000000012</v>
      </c>
      <c r="O117" s="11">
        <f t="shared" si="33"/>
        <v>0</v>
      </c>
      <c r="P117" s="11">
        <f t="shared" ref="P117:P159" si="36">H117*0.0185</f>
        <v>0.18787189495250003</v>
      </c>
      <c r="Q117" s="11">
        <f t="shared" si="35"/>
        <v>0</v>
      </c>
      <c r="R117" s="415"/>
      <c r="S117" s="415"/>
    </row>
    <row r="118" spans="1:19" s="180" customFormat="1" ht="13.5" thickBot="1">
      <c r="A118" s="1328"/>
      <c r="B118" s="416"/>
      <c r="C118" s="797" t="s">
        <v>1142</v>
      </c>
      <c r="D118" s="960" t="s">
        <v>1143</v>
      </c>
      <c r="E118" s="172">
        <v>1883.48</v>
      </c>
      <c r="F118" s="8">
        <f t="shared" si="24"/>
        <v>1035.914</v>
      </c>
      <c r="G118" s="9">
        <f t="shared" si="25"/>
        <v>0</v>
      </c>
      <c r="H118" s="52">
        <f t="shared" si="26"/>
        <v>32.496622180000003</v>
      </c>
      <c r="I118" s="11">
        <f t="shared" si="27"/>
        <v>0</v>
      </c>
      <c r="J118" s="11">
        <f t="shared" si="28"/>
        <v>28.384043600000002</v>
      </c>
      <c r="K118" s="11">
        <f t="shared" si="29"/>
        <v>0</v>
      </c>
      <c r="L118" s="11">
        <f t="shared" si="30"/>
        <v>23.6188392</v>
      </c>
      <c r="M118" s="11">
        <f t="shared" si="31"/>
        <v>0</v>
      </c>
      <c r="N118" s="11">
        <f t="shared" si="32"/>
        <v>21.1326456</v>
      </c>
      <c r="O118" s="11">
        <f t="shared" si="33"/>
        <v>0</v>
      </c>
      <c r="P118" s="11">
        <f t="shared" si="36"/>
        <v>0.60118751033000006</v>
      </c>
      <c r="Q118" s="11">
        <f t="shared" si="35"/>
        <v>0</v>
      </c>
      <c r="R118" s="415"/>
      <c r="S118" s="415"/>
    </row>
    <row r="119" spans="1:19" s="180" customFormat="1" ht="13.5" thickBot="1">
      <c r="A119" s="1328"/>
      <c r="B119" s="416"/>
      <c r="C119" s="297" t="s">
        <v>1323</v>
      </c>
      <c r="D119" s="575" t="s">
        <v>1324</v>
      </c>
      <c r="E119" s="177">
        <v>647.45000000000005</v>
      </c>
      <c r="F119" s="8">
        <f t="shared" si="24"/>
        <v>356.09750000000008</v>
      </c>
      <c r="G119" s="9">
        <f t="shared" si="25"/>
        <v>0</v>
      </c>
      <c r="H119" s="52">
        <f t="shared" si="26"/>
        <v>11.170778575000003</v>
      </c>
      <c r="I119" s="11">
        <f t="shared" si="27"/>
        <v>0</v>
      </c>
      <c r="J119" s="11">
        <f t="shared" si="28"/>
        <v>9.7570715000000021</v>
      </c>
      <c r="K119" s="11">
        <f t="shared" si="29"/>
        <v>0</v>
      </c>
      <c r="L119" s="11">
        <f t="shared" si="30"/>
        <v>8.1190230000000021</v>
      </c>
      <c r="M119" s="11">
        <f t="shared" si="31"/>
        <v>0</v>
      </c>
      <c r="N119" s="11">
        <f t="shared" si="32"/>
        <v>7.2643890000000022</v>
      </c>
      <c r="O119" s="11">
        <f t="shared" si="33"/>
        <v>0</v>
      </c>
      <c r="P119" s="11">
        <f t="shared" si="36"/>
        <v>0.20665940363750004</v>
      </c>
      <c r="Q119" s="11">
        <f t="shared" si="35"/>
        <v>0</v>
      </c>
      <c r="R119" s="415"/>
      <c r="S119" s="415"/>
    </row>
    <row r="120" spans="1:19" s="180" customFormat="1" ht="13.5" thickBot="1">
      <c r="A120" s="1328"/>
      <c r="B120" s="416"/>
      <c r="C120" s="297" t="s">
        <v>1325</v>
      </c>
      <c r="D120" s="575" t="s">
        <v>1326</v>
      </c>
      <c r="E120" s="177">
        <v>1017.42</v>
      </c>
      <c r="F120" s="8">
        <f t="shared" si="24"/>
        <v>559.58100000000002</v>
      </c>
      <c r="G120" s="9">
        <f t="shared" si="25"/>
        <v>0</v>
      </c>
      <c r="H120" s="52">
        <f t="shared" si="26"/>
        <v>17.55405597</v>
      </c>
      <c r="I120" s="11">
        <f t="shared" si="27"/>
        <v>0</v>
      </c>
      <c r="J120" s="11">
        <f t="shared" si="28"/>
        <v>15.332519400000001</v>
      </c>
      <c r="K120" s="11">
        <f t="shared" si="29"/>
        <v>0</v>
      </c>
      <c r="L120" s="11">
        <f t="shared" si="30"/>
        <v>12.758446800000002</v>
      </c>
      <c r="M120" s="11">
        <f t="shared" si="31"/>
        <v>0</v>
      </c>
      <c r="N120" s="11">
        <f t="shared" si="32"/>
        <v>11.415452400000001</v>
      </c>
      <c r="O120" s="11">
        <f t="shared" si="33"/>
        <v>0</v>
      </c>
      <c r="P120" s="11">
        <f t="shared" si="36"/>
        <v>0.32475003544499997</v>
      </c>
      <c r="Q120" s="11">
        <f t="shared" si="35"/>
        <v>0</v>
      </c>
      <c r="R120" s="415"/>
      <c r="S120" s="415"/>
    </row>
    <row r="121" spans="1:19" s="180" customFormat="1" ht="13.5" thickBot="1">
      <c r="A121" s="1328"/>
      <c r="B121" s="416"/>
      <c r="C121" s="297" t="s">
        <v>1347</v>
      </c>
      <c r="D121" s="575" t="s">
        <v>1348</v>
      </c>
      <c r="E121" s="177">
        <v>5541.13</v>
      </c>
      <c r="F121" s="8">
        <f t="shared" si="24"/>
        <v>3047.6215000000002</v>
      </c>
      <c r="G121" s="9">
        <f t="shared" si="25"/>
        <v>0</v>
      </c>
      <c r="H121" s="52">
        <f t="shared" si="26"/>
        <v>95.603886455000008</v>
      </c>
      <c r="I121" s="11">
        <f t="shared" si="27"/>
        <v>0</v>
      </c>
      <c r="J121" s="11">
        <f t="shared" si="28"/>
        <v>83.504829100000009</v>
      </c>
      <c r="K121" s="11">
        <f t="shared" si="29"/>
        <v>0</v>
      </c>
      <c r="L121" s="11">
        <f t="shared" si="30"/>
        <v>69.485770200000005</v>
      </c>
      <c r="M121" s="11">
        <f t="shared" si="31"/>
        <v>0</v>
      </c>
      <c r="N121" s="11">
        <f t="shared" si="32"/>
        <v>62.171478600000007</v>
      </c>
      <c r="O121" s="11">
        <f t="shared" si="33"/>
        <v>0</v>
      </c>
      <c r="P121" s="11">
        <f t="shared" si="36"/>
        <v>1.7686718994175001</v>
      </c>
      <c r="Q121" s="11">
        <f t="shared" si="35"/>
        <v>0</v>
      </c>
      <c r="R121" s="415"/>
      <c r="S121" s="415"/>
    </row>
    <row r="122" spans="1:19" s="180" customFormat="1" ht="13.5" thickBot="1">
      <c r="A122" s="1328"/>
      <c r="B122" s="416"/>
      <c r="C122" s="297" t="s">
        <v>1229</v>
      </c>
      <c r="D122" s="575" t="s">
        <v>1230</v>
      </c>
      <c r="E122" s="177">
        <v>4436.03</v>
      </c>
      <c r="F122" s="8">
        <f t="shared" si="24"/>
        <v>2439.8164999999999</v>
      </c>
      <c r="G122" s="9">
        <f t="shared" si="25"/>
        <v>0</v>
      </c>
      <c r="H122" s="52">
        <f t="shared" si="26"/>
        <v>76.537043605000008</v>
      </c>
      <c r="I122" s="11">
        <f t="shared" si="27"/>
        <v>0</v>
      </c>
      <c r="J122" s="11">
        <f t="shared" si="28"/>
        <v>66.850972099999993</v>
      </c>
      <c r="K122" s="11">
        <f t="shared" si="29"/>
        <v>0</v>
      </c>
      <c r="L122" s="11">
        <f t="shared" si="30"/>
        <v>55.627816199999998</v>
      </c>
      <c r="M122" s="11">
        <f t="shared" si="31"/>
        <v>0</v>
      </c>
      <c r="N122" s="11">
        <f t="shared" si="32"/>
        <v>49.772256599999999</v>
      </c>
      <c r="O122" s="11">
        <f t="shared" si="33"/>
        <v>0</v>
      </c>
      <c r="P122" s="11">
        <f t="shared" si="36"/>
        <v>1.4159353066925</v>
      </c>
      <c r="Q122" s="11">
        <f t="shared" si="35"/>
        <v>0</v>
      </c>
      <c r="R122" s="415"/>
      <c r="S122" s="415"/>
    </row>
    <row r="123" spans="1:19" s="180" customFormat="1" ht="13.5" thickBot="1">
      <c r="A123" s="1328"/>
      <c r="B123" s="416"/>
      <c r="C123" s="797" t="s">
        <v>1406</v>
      </c>
      <c r="D123" s="960" t="s">
        <v>4034</v>
      </c>
      <c r="E123" s="172">
        <v>5586</v>
      </c>
      <c r="F123" s="8">
        <f t="shared" si="24"/>
        <v>3072.3</v>
      </c>
      <c r="G123" s="9">
        <f t="shared" si="25"/>
        <v>0</v>
      </c>
      <c r="H123" s="52">
        <f t="shared" si="26"/>
        <v>96.378051000000013</v>
      </c>
      <c r="I123" s="11">
        <f t="shared" si="27"/>
        <v>0</v>
      </c>
      <c r="J123" s="11">
        <f t="shared" si="28"/>
        <v>84.181020000000004</v>
      </c>
      <c r="K123" s="11">
        <f t="shared" si="29"/>
        <v>0</v>
      </c>
      <c r="L123" s="11">
        <f t="shared" si="30"/>
        <v>70.048440000000014</v>
      </c>
      <c r="M123" s="11">
        <f t="shared" si="31"/>
        <v>0</v>
      </c>
      <c r="N123" s="11">
        <f t="shared" si="32"/>
        <v>62.674920000000007</v>
      </c>
      <c r="O123" s="11">
        <f t="shared" si="33"/>
        <v>0</v>
      </c>
      <c r="P123" s="11">
        <f t="shared" si="36"/>
        <v>1.7829939435000002</v>
      </c>
      <c r="Q123" s="11">
        <f t="shared" si="35"/>
        <v>0</v>
      </c>
      <c r="R123" s="415"/>
      <c r="S123" s="415"/>
    </row>
    <row r="124" spans="1:19" s="180" customFormat="1" ht="13.5" thickBot="1">
      <c r="A124" s="1328"/>
      <c r="B124" s="416"/>
      <c r="C124" s="797" t="s">
        <v>4033</v>
      </c>
      <c r="D124" s="960" t="s">
        <v>4034</v>
      </c>
      <c r="E124" s="172">
        <v>6344.79</v>
      </c>
      <c r="F124" s="8">
        <f t="shared" si="24"/>
        <v>3489.6345000000001</v>
      </c>
      <c r="G124" s="9">
        <f t="shared" si="25"/>
        <v>0</v>
      </c>
      <c r="H124" s="52">
        <f t="shared" si="26"/>
        <v>109.46983426500002</v>
      </c>
      <c r="I124" s="11">
        <f t="shared" si="27"/>
        <v>0</v>
      </c>
      <c r="J124" s="11">
        <f t="shared" si="28"/>
        <v>95.615985300000006</v>
      </c>
      <c r="K124" s="11">
        <f t="shared" si="29"/>
        <v>0</v>
      </c>
      <c r="L124" s="11">
        <f t="shared" si="30"/>
        <v>79.563666600000005</v>
      </c>
      <c r="M124" s="11">
        <f t="shared" si="31"/>
        <v>0</v>
      </c>
      <c r="N124" s="11">
        <f t="shared" si="32"/>
        <v>71.188543800000005</v>
      </c>
      <c r="O124" s="11">
        <f t="shared" si="33"/>
        <v>0</v>
      </c>
      <c r="P124" s="11">
        <f t="shared" si="36"/>
        <v>2.0251919339025002</v>
      </c>
      <c r="Q124" s="11">
        <f t="shared" si="35"/>
        <v>0</v>
      </c>
      <c r="R124" s="415"/>
      <c r="S124" s="415"/>
    </row>
    <row r="125" spans="1:19" s="180" customFormat="1" ht="13.5" thickBot="1">
      <c r="A125" s="1328"/>
      <c r="B125" s="416"/>
      <c r="C125" s="797" t="s">
        <v>1152</v>
      </c>
      <c r="D125" s="960" t="s">
        <v>1231</v>
      </c>
      <c r="E125" s="172">
        <v>5018.6099999999997</v>
      </c>
      <c r="F125" s="8">
        <f t="shared" ref="F125:F130" si="37">E125*(1-45%)</f>
        <v>2760.2355000000002</v>
      </c>
      <c r="G125" s="10">
        <f t="shared" ref="G125:G130" si="38">F125*B125</f>
        <v>0</v>
      </c>
      <c r="H125" s="11">
        <f t="shared" ref="H125:H130" si="39">F125*0.03137</f>
        <v>86.58858763500001</v>
      </c>
      <c r="I125" s="11">
        <f t="shared" ref="I125:I130" si="40">H125*B125</f>
        <v>0</v>
      </c>
      <c r="J125" s="11">
        <f>F125*0.0274</f>
        <v>75.630452700000006</v>
      </c>
      <c r="K125" s="11">
        <f t="shared" ref="K125:K130" si="41">J125*B125</f>
        <v>0</v>
      </c>
      <c r="L125" s="11">
        <f>F125*0.0228</f>
        <v>62.933369400000011</v>
      </c>
      <c r="M125" s="11">
        <f t="shared" ref="M125:M130" si="42">L125*B125</f>
        <v>0</v>
      </c>
      <c r="N125" s="11">
        <f t="shared" ref="N125:N130" si="43">F125*0.0204</f>
        <v>56.308804200000012</v>
      </c>
      <c r="O125" s="11">
        <f t="shared" ref="O125:O130" si="44">N125*B125</f>
        <v>0</v>
      </c>
      <c r="P125" s="11">
        <f t="shared" ref="P125:P130" si="45">H125*0.0185</f>
        <v>1.6018888712475001</v>
      </c>
      <c r="Q125" s="11">
        <f t="shared" ref="Q125:Q130" si="46">P125*B125</f>
        <v>0</v>
      </c>
      <c r="R125" s="415"/>
      <c r="S125" s="415"/>
    </row>
    <row r="126" spans="1:19" s="180" customFormat="1" ht="13.5" thickBot="1">
      <c r="A126" s="1328"/>
      <c r="B126" s="416"/>
      <c r="C126" s="797" t="s">
        <v>3961</v>
      </c>
      <c r="D126" s="960" t="s">
        <v>1234</v>
      </c>
      <c r="E126" s="172">
        <v>7399.39</v>
      </c>
      <c r="F126" s="8">
        <f t="shared" si="37"/>
        <v>4069.6645000000003</v>
      </c>
      <c r="G126" s="10">
        <f t="shared" si="38"/>
        <v>0</v>
      </c>
      <c r="H126" s="11">
        <f t="shared" si="39"/>
        <v>127.66537536500002</v>
      </c>
      <c r="I126" s="11">
        <f t="shared" si="40"/>
        <v>0</v>
      </c>
      <c r="J126" s="11">
        <f>F126*0.0274</f>
        <v>111.50880730000002</v>
      </c>
      <c r="K126" s="11">
        <f t="shared" si="41"/>
        <v>0</v>
      </c>
      <c r="L126" s="11">
        <f>F126*0.0228</f>
        <v>92.788350600000015</v>
      </c>
      <c r="M126" s="11">
        <f t="shared" si="42"/>
        <v>0</v>
      </c>
      <c r="N126" s="11">
        <f t="shared" si="43"/>
        <v>83.021155800000017</v>
      </c>
      <c r="O126" s="11">
        <f t="shared" si="44"/>
        <v>0</v>
      </c>
      <c r="P126" s="11">
        <f t="shared" si="45"/>
        <v>2.3618094442525002</v>
      </c>
      <c r="Q126" s="11">
        <f t="shared" si="46"/>
        <v>0</v>
      </c>
      <c r="R126" s="415"/>
      <c r="S126" s="415"/>
    </row>
    <row r="127" spans="1:19" s="180" customFormat="1" ht="13.5" thickBot="1">
      <c r="A127" s="1328"/>
      <c r="B127" s="416"/>
      <c r="C127" s="297" t="s">
        <v>1235</v>
      </c>
      <c r="D127" s="575" t="s">
        <v>1381</v>
      </c>
      <c r="E127" s="177">
        <v>5179.58</v>
      </c>
      <c r="F127" s="8">
        <f t="shared" si="37"/>
        <v>2848.7690000000002</v>
      </c>
      <c r="G127" s="10">
        <f t="shared" si="38"/>
        <v>0</v>
      </c>
      <c r="H127" s="11">
        <f t="shared" si="39"/>
        <v>89.365883530000019</v>
      </c>
      <c r="I127" s="11">
        <f t="shared" si="40"/>
        <v>0</v>
      </c>
      <c r="J127" s="11">
        <f>F127*0.0274</f>
        <v>78.056270600000005</v>
      </c>
      <c r="K127" s="11">
        <f t="shared" si="41"/>
        <v>0</v>
      </c>
      <c r="L127" s="11">
        <f>F127*0.0228</f>
        <v>64.951933200000013</v>
      </c>
      <c r="M127" s="11">
        <f t="shared" si="42"/>
        <v>0</v>
      </c>
      <c r="N127" s="11">
        <f t="shared" si="43"/>
        <v>58.11488760000001</v>
      </c>
      <c r="O127" s="11">
        <f t="shared" si="44"/>
        <v>0</v>
      </c>
      <c r="P127" s="11">
        <f t="shared" si="45"/>
        <v>1.6532688453050002</v>
      </c>
      <c r="Q127" s="11">
        <f t="shared" si="46"/>
        <v>0</v>
      </c>
      <c r="R127" s="415"/>
      <c r="S127" s="415"/>
    </row>
    <row r="128" spans="1:19" s="180" customFormat="1" ht="13.5" thickBot="1">
      <c r="A128" s="1328"/>
      <c r="B128" s="416"/>
      <c r="C128" s="173" t="s">
        <v>4138</v>
      </c>
      <c r="D128" s="960" t="s">
        <v>1407</v>
      </c>
      <c r="E128" s="172">
        <v>15347.73</v>
      </c>
      <c r="F128" s="8">
        <f t="shared" si="37"/>
        <v>8441.2515000000003</v>
      </c>
      <c r="G128" s="10">
        <f t="shared" si="38"/>
        <v>0</v>
      </c>
      <c r="H128" s="11">
        <f t="shared" si="39"/>
        <v>264.80205955500003</v>
      </c>
      <c r="I128" s="11">
        <f t="shared" si="40"/>
        <v>0</v>
      </c>
      <c r="J128" s="11">
        <f>F128*0.0274</f>
        <v>231.29029110000002</v>
      </c>
      <c r="K128" s="11">
        <f t="shared" si="41"/>
        <v>0</v>
      </c>
      <c r="L128" s="11">
        <f>F128*0.0228</f>
        <v>192.46053420000001</v>
      </c>
      <c r="M128" s="11">
        <f t="shared" si="42"/>
        <v>0</v>
      </c>
      <c r="N128" s="11">
        <f t="shared" si="43"/>
        <v>172.20153060000001</v>
      </c>
      <c r="O128" s="11">
        <f t="shared" si="44"/>
        <v>0</v>
      </c>
      <c r="P128" s="11">
        <f t="shared" si="45"/>
        <v>4.8988381017675007</v>
      </c>
      <c r="Q128" s="11">
        <f t="shared" si="46"/>
        <v>0</v>
      </c>
      <c r="R128" s="415"/>
      <c r="S128" s="415"/>
    </row>
    <row r="129" spans="1:19" s="180" customFormat="1" ht="13.5" thickBot="1">
      <c r="A129" s="1328"/>
      <c r="B129" s="873"/>
      <c r="C129" s="173" t="s">
        <v>4139</v>
      </c>
      <c r="D129" s="960" t="s">
        <v>1408</v>
      </c>
      <c r="E129" s="174">
        <v>27694.86</v>
      </c>
      <c r="F129" s="52">
        <f t="shared" si="37"/>
        <v>15232.173000000001</v>
      </c>
      <c r="G129" s="54">
        <f t="shared" si="38"/>
        <v>0</v>
      </c>
      <c r="H129" s="11">
        <f t="shared" si="39"/>
        <v>477.83326701000004</v>
      </c>
      <c r="I129" s="11">
        <f t="shared" si="40"/>
        <v>0</v>
      </c>
      <c r="J129" s="11">
        <f>F129*0.02564</f>
        <v>390.55291571999999</v>
      </c>
      <c r="K129" s="11">
        <f t="shared" si="41"/>
        <v>0</v>
      </c>
      <c r="L129" s="11">
        <f>F129*0.0256</f>
        <v>389.94362880000006</v>
      </c>
      <c r="M129" s="11">
        <f t="shared" si="42"/>
        <v>0</v>
      </c>
      <c r="N129" s="11">
        <f t="shared" si="43"/>
        <v>310.73632920000006</v>
      </c>
      <c r="O129" s="11">
        <f t="shared" si="44"/>
        <v>0</v>
      </c>
      <c r="P129" s="11">
        <f t="shared" si="45"/>
        <v>8.8399154396850008</v>
      </c>
      <c r="Q129" s="11">
        <f t="shared" si="46"/>
        <v>0</v>
      </c>
      <c r="R129" s="415"/>
      <c r="S129" s="415"/>
    </row>
    <row r="130" spans="1:19" s="180" customFormat="1" ht="13.5" thickBot="1">
      <c r="A130" s="1328"/>
      <c r="B130" s="416"/>
      <c r="C130" s="173" t="s">
        <v>4140</v>
      </c>
      <c r="D130" s="960" t="s">
        <v>1385</v>
      </c>
      <c r="E130" s="172">
        <v>27853.42</v>
      </c>
      <c r="F130" s="8">
        <f t="shared" si="37"/>
        <v>15319.380999999999</v>
      </c>
      <c r="G130" s="10">
        <f t="shared" si="38"/>
        <v>0</v>
      </c>
      <c r="H130" s="11">
        <f t="shared" si="39"/>
        <v>480.56898197000004</v>
      </c>
      <c r="I130" s="11">
        <f t="shared" si="40"/>
        <v>0</v>
      </c>
      <c r="J130" s="11">
        <f>F130*0.0274</f>
        <v>419.75103939999997</v>
      </c>
      <c r="K130" s="11">
        <f t="shared" si="41"/>
        <v>0</v>
      </c>
      <c r="L130" s="11">
        <f>F130*0.0228</f>
        <v>349.2818868</v>
      </c>
      <c r="M130" s="11">
        <f t="shared" si="42"/>
        <v>0</v>
      </c>
      <c r="N130" s="11">
        <f t="shared" si="43"/>
        <v>312.51537239999999</v>
      </c>
      <c r="O130" s="11">
        <f t="shared" si="44"/>
        <v>0</v>
      </c>
      <c r="P130" s="11">
        <f t="shared" si="45"/>
        <v>8.8905261664449995</v>
      </c>
      <c r="Q130" s="11">
        <f t="shared" si="46"/>
        <v>0</v>
      </c>
      <c r="R130" s="415"/>
      <c r="S130" s="415"/>
    </row>
    <row r="131" spans="1:19" s="180" customFormat="1" ht="13.5" thickBot="1">
      <c r="A131" s="1328"/>
      <c r="B131" s="416"/>
      <c r="C131" s="797" t="s">
        <v>1132</v>
      </c>
      <c r="D131" s="960" t="s">
        <v>1133</v>
      </c>
      <c r="E131" s="172">
        <v>1471.47</v>
      </c>
      <c r="F131" s="8">
        <f t="shared" si="24"/>
        <v>809.30850000000009</v>
      </c>
      <c r="G131" s="10">
        <f t="shared" si="25"/>
        <v>0</v>
      </c>
      <c r="H131" s="11">
        <f t="shared" si="26"/>
        <v>25.388007645000005</v>
      </c>
      <c r="I131" s="11">
        <f t="shared" si="27"/>
        <v>0</v>
      </c>
      <c r="J131" s="11">
        <f t="shared" si="28"/>
        <v>22.175052900000004</v>
      </c>
      <c r="K131" s="11">
        <f t="shared" si="29"/>
        <v>0</v>
      </c>
      <c r="L131" s="11">
        <f t="shared" si="30"/>
        <v>18.452233800000002</v>
      </c>
      <c r="M131" s="11">
        <f t="shared" si="31"/>
        <v>0</v>
      </c>
      <c r="N131" s="11">
        <f t="shared" si="32"/>
        <v>16.509893400000003</v>
      </c>
      <c r="O131" s="11">
        <f t="shared" si="33"/>
        <v>0</v>
      </c>
      <c r="P131" s="11">
        <f t="shared" si="36"/>
        <v>0.46967814143250008</v>
      </c>
      <c r="Q131" s="11">
        <f t="shared" si="35"/>
        <v>0</v>
      </c>
      <c r="R131" s="415"/>
      <c r="S131" s="415"/>
    </row>
    <row r="132" spans="1:19" s="180" customFormat="1" ht="13.5" thickBot="1">
      <c r="A132" s="1328"/>
      <c r="B132" s="416"/>
      <c r="C132" s="797" t="s">
        <v>1150</v>
      </c>
      <c r="D132" s="960" t="s">
        <v>1151</v>
      </c>
      <c r="E132" s="172">
        <v>1103.9100000000001</v>
      </c>
      <c r="F132" s="8">
        <f t="shared" si="24"/>
        <v>607.15050000000008</v>
      </c>
      <c r="G132" s="10">
        <f t="shared" si="25"/>
        <v>0</v>
      </c>
      <c r="H132" s="11">
        <f t="shared" si="26"/>
        <v>19.046311185000004</v>
      </c>
      <c r="I132" s="11">
        <f t="shared" si="27"/>
        <v>0</v>
      </c>
      <c r="J132" s="11">
        <f t="shared" si="28"/>
        <v>16.635923700000003</v>
      </c>
      <c r="K132" s="11">
        <f t="shared" si="29"/>
        <v>0</v>
      </c>
      <c r="L132" s="11">
        <f t="shared" si="30"/>
        <v>13.843031400000003</v>
      </c>
      <c r="M132" s="11">
        <f t="shared" si="31"/>
        <v>0</v>
      </c>
      <c r="N132" s="11">
        <f t="shared" si="32"/>
        <v>12.385870200000003</v>
      </c>
      <c r="O132" s="11">
        <f t="shared" si="33"/>
        <v>0</v>
      </c>
      <c r="P132" s="11">
        <f t="shared" si="36"/>
        <v>0.35235675692250007</v>
      </c>
      <c r="Q132" s="11">
        <f t="shared" si="35"/>
        <v>0</v>
      </c>
      <c r="R132" s="415"/>
      <c r="S132" s="415"/>
    </row>
    <row r="133" spans="1:19" s="180" customFormat="1" ht="13.5" thickBot="1">
      <c r="A133" s="1328"/>
      <c r="B133" s="416"/>
      <c r="C133" s="297" t="s">
        <v>3962</v>
      </c>
      <c r="D133" s="575" t="s">
        <v>3963</v>
      </c>
      <c r="E133" s="177">
        <v>1610.28</v>
      </c>
      <c r="F133" s="8">
        <f t="shared" si="24"/>
        <v>885.65400000000011</v>
      </c>
      <c r="G133" s="10">
        <f t="shared" si="25"/>
        <v>0</v>
      </c>
      <c r="H133" s="11">
        <f t="shared" si="26"/>
        <v>27.782965980000004</v>
      </c>
      <c r="I133" s="11">
        <f t="shared" si="27"/>
        <v>0</v>
      </c>
      <c r="J133" s="11">
        <f t="shared" si="28"/>
        <v>24.266919600000005</v>
      </c>
      <c r="K133" s="11">
        <f t="shared" si="29"/>
        <v>0</v>
      </c>
      <c r="L133" s="11">
        <f t="shared" si="30"/>
        <v>20.192911200000005</v>
      </c>
      <c r="M133" s="11">
        <f t="shared" si="31"/>
        <v>0</v>
      </c>
      <c r="N133" s="11">
        <f t="shared" si="32"/>
        <v>18.067341600000002</v>
      </c>
      <c r="O133" s="11">
        <f t="shared" si="33"/>
        <v>0</v>
      </c>
      <c r="P133" s="11">
        <f t="shared" si="36"/>
        <v>0.51398487063000009</v>
      </c>
      <c r="Q133" s="11">
        <f t="shared" si="35"/>
        <v>0</v>
      </c>
      <c r="R133" s="415"/>
      <c r="S133" s="415"/>
    </row>
    <row r="134" spans="1:19" s="180" customFormat="1" ht="13.5" thickBot="1">
      <c r="A134" s="1328"/>
      <c r="B134" s="416"/>
      <c r="C134" s="173" t="s">
        <v>3964</v>
      </c>
      <c r="D134" s="960" t="s">
        <v>3965</v>
      </c>
      <c r="E134" s="172">
        <v>2514.2399999999998</v>
      </c>
      <c r="F134" s="8">
        <f t="shared" si="24"/>
        <v>1382.8319999999999</v>
      </c>
      <c r="G134" s="10">
        <f t="shared" si="25"/>
        <v>0</v>
      </c>
      <c r="H134" s="11">
        <f t="shared" si="26"/>
        <v>43.379439839999996</v>
      </c>
      <c r="I134" s="11">
        <f t="shared" si="27"/>
        <v>0</v>
      </c>
      <c r="J134" s="11">
        <f t="shared" si="28"/>
        <v>37.8895968</v>
      </c>
      <c r="K134" s="11">
        <f t="shared" si="29"/>
        <v>0</v>
      </c>
      <c r="L134" s="11">
        <f t="shared" si="30"/>
        <v>31.528569599999997</v>
      </c>
      <c r="M134" s="11">
        <f t="shared" si="31"/>
        <v>0</v>
      </c>
      <c r="N134" s="11">
        <f t="shared" si="32"/>
        <v>28.2097728</v>
      </c>
      <c r="O134" s="11">
        <f t="shared" si="33"/>
        <v>0</v>
      </c>
      <c r="P134" s="11">
        <f t="shared" si="36"/>
        <v>0.80251963703999984</v>
      </c>
      <c r="Q134" s="11">
        <f t="shared" si="35"/>
        <v>0</v>
      </c>
      <c r="R134" s="415"/>
      <c r="S134" s="415"/>
    </row>
    <row r="135" spans="1:19" s="180" customFormat="1" ht="13.5" thickBot="1">
      <c r="A135" s="1328"/>
      <c r="B135" s="873"/>
      <c r="C135" s="173" t="s">
        <v>3966</v>
      </c>
      <c r="D135" s="960" t="s">
        <v>3967</v>
      </c>
      <c r="E135" s="174">
        <v>31146.560000000001</v>
      </c>
      <c r="F135" s="52">
        <f t="shared" si="24"/>
        <v>17130.608000000004</v>
      </c>
      <c r="G135" s="54">
        <f t="shared" si="25"/>
        <v>0</v>
      </c>
      <c r="H135" s="11">
        <f t="shared" si="26"/>
        <v>537.38717296000016</v>
      </c>
      <c r="I135" s="11">
        <f t="shared" si="27"/>
        <v>0</v>
      </c>
      <c r="J135" s="11">
        <f>F135*0.02564</f>
        <v>439.2287891200001</v>
      </c>
      <c r="K135" s="11">
        <f t="shared" si="29"/>
        <v>0</v>
      </c>
      <c r="L135" s="11">
        <f>F135*0.0256</f>
        <v>438.54356480000013</v>
      </c>
      <c r="M135" s="11">
        <f t="shared" si="31"/>
        <v>0</v>
      </c>
      <c r="N135" s="11">
        <f t="shared" si="32"/>
        <v>349.46440320000011</v>
      </c>
      <c r="O135" s="11">
        <f t="shared" si="33"/>
        <v>0</v>
      </c>
      <c r="P135" s="11">
        <f t="shared" si="36"/>
        <v>9.9416626997600019</v>
      </c>
      <c r="Q135" s="11">
        <f t="shared" si="35"/>
        <v>0</v>
      </c>
      <c r="R135" s="415"/>
      <c r="S135" s="415"/>
    </row>
    <row r="136" spans="1:19" s="180" customFormat="1" ht="13.5" thickBot="1">
      <c r="A136" s="1328"/>
      <c r="B136" s="416"/>
      <c r="C136" s="173">
        <v>13200002</v>
      </c>
      <c r="D136" s="960" t="s">
        <v>1240</v>
      </c>
      <c r="E136" s="172">
        <v>663.05</v>
      </c>
      <c r="F136" s="8">
        <f t="shared" si="24"/>
        <v>364.67750000000001</v>
      </c>
      <c r="G136" s="10">
        <f t="shared" si="25"/>
        <v>0</v>
      </c>
      <c r="H136" s="11">
        <f t="shared" si="26"/>
        <v>11.439933175</v>
      </c>
      <c r="I136" s="11">
        <f t="shared" si="27"/>
        <v>0</v>
      </c>
      <c r="J136" s="11">
        <f>F136*0.0274</f>
        <v>9.9921635000000002</v>
      </c>
      <c r="K136" s="11">
        <f t="shared" si="29"/>
        <v>0</v>
      </c>
      <c r="L136" s="11">
        <f t="shared" ref="L136:L159" si="47">F136*0.0228</f>
        <v>8.3146470000000008</v>
      </c>
      <c r="M136" s="11">
        <f t="shared" si="31"/>
        <v>0</v>
      </c>
      <c r="N136" s="11">
        <f t="shared" si="32"/>
        <v>7.4394210000000003</v>
      </c>
      <c r="O136" s="11">
        <f t="shared" si="33"/>
        <v>0</v>
      </c>
      <c r="P136" s="11">
        <f t="shared" si="36"/>
        <v>0.21163876373749999</v>
      </c>
      <c r="Q136" s="11">
        <f t="shared" si="35"/>
        <v>0</v>
      </c>
      <c r="R136" s="415"/>
      <c r="S136" s="415"/>
    </row>
    <row r="137" spans="1:19" s="180" customFormat="1" ht="13.5" thickBot="1">
      <c r="A137" s="1328"/>
      <c r="B137" s="416"/>
      <c r="C137" s="798" t="s">
        <v>1241</v>
      </c>
      <c r="D137" s="961" t="s">
        <v>1242</v>
      </c>
      <c r="E137" s="177">
        <v>7546.63</v>
      </c>
      <c r="F137" s="8">
        <f t="shared" si="24"/>
        <v>4150.6465000000007</v>
      </c>
      <c r="G137" s="10">
        <f t="shared" si="25"/>
        <v>0</v>
      </c>
      <c r="H137" s="11">
        <f t="shared" si="26"/>
        <v>130.20578070500002</v>
      </c>
      <c r="I137" s="11">
        <f t="shared" si="27"/>
        <v>0</v>
      </c>
      <c r="J137" s="11">
        <f>F137*0.0274</f>
        <v>113.72771410000003</v>
      </c>
      <c r="K137" s="11">
        <f t="shared" si="29"/>
        <v>0</v>
      </c>
      <c r="L137" s="11">
        <f t="shared" si="47"/>
        <v>94.634740200000024</v>
      </c>
      <c r="M137" s="11">
        <f t="shared" si="31"/>
        <v>0</v>
      </c>
      <c r="N137" s="11">
        <f t="shared" si="32"/>
        <v>84.673188600000017</v>
      </c>
      <c r="O137" s="11">
        <f t="shared" si="33"/>
        <v>0</v>
      </c>
      <c r="P137" s="11">
        <f t="shared" si="36"/>
        <v>2.4088069430425003</v>
      </c>
      <c r="Q137" s="11">
        <f t="shared" si="35"/>
        <v>0</v>
      </c>
      <c r="R137" s="415"/>
      <c r="S137" s="415"/>
    </row>
    <row r="138" spans="1:19" s="180" customFormat="1" ht="13.5" thickBot="1">
      <c r="A138" s="1328"/>
      <c r="B138" s="416"/>
      <c r="C138" s="797" t="s">
        <v>4016</v>
      </c>
      <c r="D138" s="960" t="s">
        <v>4017</v>
      </c>
      <c r="E138" s="172">
        <v>725.2</v>
      </c>
      <c r="F138" s="8">
        <f t="shared" si="24"/>
        <v>398.86000000000007</v>
      </c>
      <c r="G138" s="10">
        <f t="shared" si="25"/>
        <v>0</v>
      </c>
      <c r="H138" s="11">
        <f t="shared" si="26"/>
        <v>12.512238200000002</v>
      </c>
      <c r="I138" s="11">
        <f t="shared" si="27"/>
        <v>0</v>
      </c>
      <c r="J138" s="11">
        <f>F138*0.0274</f>
        <v>10.928764000000003</v>
      </c>
      <c r="K138" s="11">
        <f t="shared" si="29"/>
        <v>0</v>
      </c>
      <c r="L138" s="11">
        <f t="shared" si="47"/>
        <v>9.0940080000000023</v>
      </c>
      <c r="M138" s="11">
        <f t="shared" si="31"/>
        <v>0</v>
      </c>
      <c r="N138" s="11">
        <f t="shared" si="32"/>
        <v>8.136744000000002</v>
      </c>
      <c r="O138" s="11">
        <f t="shared" si="33"/>
        <v>0</v>
      </c>
      <c r="P138" s="11">
        <f t="shared" si="36"/>
        <v>0.23147640670000003</v>
      </c>
      <c r="Q138" s="11">
        <f t="shared" si="35"/>
        <v>0</v>
      </c>
      <c r="R138" s="415"/>
      <c r="S138" s="415"/>
    </row>
    <row r="139" spans="1:19" s="180" customFormat="1" ht="13.5" thickBot="1">
      <c r="A139" s="1328"/>
      <c r="B139" s="873"/>
      <c r="C139" s="173" t="s">
        <v>4018</v>
      </c>
      <c r="D139" s="960" t="s">
        <v>4019</v>
      </c>
      <c r="E139" s="174">
        <v>17592.400000000001</v>
      </c>
      <c r="F139" s="52">
        <f t="shared" si="24"/>
        <v>9675.8200000000015</v>
      </c>
      <c r="G139" s="54">
        <f t="shared" si="25"/>
        <v>0</v>
      </c>
      <c r="H139" s="11">
        <f t="shared" si="26"/>
        <v>303.53047340000006</v>
      </c>
      <c r="I139" s="11">
        <f t="shared" si="27"/>
        <v>0</v>
      </c>
      <c r="J139" s="11">
        <f>F139*0.0274</f>
        <v>265.11746800000003</v>
      </c>
      <c r="K139" s="11">
        <f t="shared" si="29"/>
        <v>0</v>
      </c>
      <c r="L139" s="11">
        <f t="shared" si="47"/>
        <v>220.60869600000004</v>
      </c>
      <c r="M139" s="11">
        <f t="shared" si="31"/>
        <v>0</v>
      </c>
      <c r="N139" s="11">
        <f t="shared" si="32"/>
        <v>197.38672800000003</v>
      </c>
      <c r="O139" s="11">
        <f t="shared" si="33"/>
        <v>0</v>
      </c>
      <c r="P139" s="11">
        <f t="shared" si="36"/>
        <v>5.615313757900001</v>
      </c>
      <c r="Q139" s="11">
        <f t="shared" si="35"/>
        <v>0</v>
      </c>
      <c r="R139" s="415"/>
      <c r="S139" s="415"/>
    </row>
    <row r="140" spans="1:19" s="180" customFormat="1" ht="13.5" thickBot="1">
      <c r="A140" s="1328"/>
      <c r="B140" s="416"/>
      <c r="C140" s="173" t="s">
        <v>1243</v>
      </c>
      <c r="D140" s="960" t="s">
        <v>1244</v>
      </c>
      <c r="E140" s="172">
        <v>51145.96</v>
      </c>
      <c r="F140" s="8">
        <f t="shared" si="24"/>
        <v>28130.278000000002</v>
      </c>
      <c r="G140" s="10">
        <f t="shared" si="25"/>
        <v>0</v>
      </c>
      <c r="H140" s="11">
        <f t="shared" si="26"/>
        <v>882.44682086000012</v>
      </c>
      <c r="I140" s="11">
        <f t="shared" si="27"/>
        <v>0</v>
      </c>
      <c r="J140" s="11">
        <f>F140*0.0274</f>
        <v>770.76961720000008</v>
      </c>
      <c r="K140" s="11">
        <f t="shared" si="29"/>
        <v>0</v>
      </c>
      <c r="L140" s="11">
        <f t="shared" si="47"/>
        <v>641.37033840000004</v>
      </c>
      <c r="M140" s="11">
        <f t="shared" si="31"/>
        <v>0</v>
      </c>
      <c r="N140" s="11">
        <f t="shared" si="32"/>
        <v>573.85767120000003</v>
      </c>
      <c r="O140" s="11">
        <f t="shared" si="33"/>
        <v>0</v>
      </c>
      <c r="P140" s="11">
        <f t="shared" si="36"/>
        <v>16.325266185910003</v>
      </c>
      <c r="Q140" s="11">
        <f t="shared" si="35"/>
        <v>0</v>
      </c>
      <c r="R140" s="415"/>
      <c r="S140" s="415"/>
    </row>
    <row r="141" spans="1:19" s="180" customFormat="1" ht="13.5" thickBot="1">
      <c r="A141" s="1328"/>
      <c r="B141" s="873"/>
      <c r="C141" s="173" t="s">
        <v>3970</v>
      </c>
      <c r="D141" s="960" t="s">
        <v>3971</v>
      </c>
      <c r="E141" s="174">
        <v>26114.75</v>
      </c>
      <c r="F141" s="52">
        <f t="shared" si="24"/>
        <v>14363.112500000001</v>
      </c>
      <c r="G141" s="54">
        <f t="shared" si="25"/>
        <v>0</v>
      </c>
      <c r="H141" s="11">
        <f t="shared" si="26"/>
        <v>450.57083912500008</v>
      </c>
      <c r="I141" s="11">
        <f t="shared" si="27"/>
        <v>0</v>
      </c>
      <c r="J141" s="11">
        <f>F141*0.02564</f>
        <v>368.27020450000003</v>
      </c>
      <c r="K141" s="11">
        <f t="shared" si="29"/>
        <v>0</v>
      </c>
      <c r="L141" s="11">
        <f t="shared" si="47"/>
        <v>327.47896500000002</v>
      </c>
      <c r="M141" s="11">
        <f t="shared" si="31"/>
        <v>0</v>
      </c>
      <c r="N141" s="11">
        <f t="shared" si="32"/>
        <v>293.00749500000006</v>
      </c>
      <c r="O141" s="11">
        <f t="shared" si="33"/>
        <v>0</v>
      </c>
      <c r="P141" s="11">
        <f t="shared" si="36"/>
        <v>8.3355605238125019</v>
      </c>
      <c r="Q141" s="11">
        <f t="shared" si="35"/>
        <v>0</v>
      </c>
      <c r="R141" s="415"/>
      <c r="S141" s="415"/>
    </row>
    <row r="142" spans="1:19" s="180" customFormat="1" ht="13.5" thickBot="1">
      <c r="A142" s="1328"/>
      <c r="B142" s="416"/>
      <c r="C142" s="173">
        <v>13700022</v>
      </c>
      <c r="D142" s="960" t="s">
        <v>1245</v>
      </c>
      <c r="E142" s="172">
        <v>18623.990000000002</v>
      </c>
      <c r="F142" s="8">
        <f t="shared" si="24"/>
        <v>10243.194500000001</v>
      </c>
      <c r="G142" s="10">
        <f t="shared" si="25"/>
        <v>0</v>
      </c>
      <c r="H142" s="11">
        <f t="shared" si="26"/>
        <v>321.32901146500006</v>
      </c>
      <c r="I142" s="11">
        <f t="shared" si="27"/>
        <v>0</v>
      </c>
      <c r="J142" s="11">
        <f t="shared" ref="J142:J159" si="48">F142*0.0274</f>
        <v>280.66352930000005</v>
      </c>
      <c r="K142" s="11">
        <f t="shared" si="29"/>
        <v>0</v>
      </c>
      <c r="L142" s="11">
        <f t="shared" si="47"/>
        <v>233.54483460000003</v>
      </c>
      <c r="M142" s="11">
        <f t="shared" si="31"/>
        <v>0</v>
      </c>
      <c r="N142" s="11">
        <f t="shared" si="32"/>
        <v>208.96116780000006</v>
      </c>
      <c r="O142" s="11">
        <f t="shared" si="33"/>
        <v>0</v>
      </c>
      <c r="P142" s="11">
        <f t="shared" si="36"/>
        <v>5.9445867121025007</v>
      </c>
      <c r="Q142" s="11">
        <f t="shared" si="35"/>
        <v>0</v>
      </c>
      <c r="R142" s="415"/>
      <c r="S142" s="415"/>
    </row>
    <row r="143" spans="1:19" s="180" customFormat="1" ht="13.5" thickBot="1">
      <c r="A143" s="1328"/>
      <c r="B143" s="873"/>
      <c r="C143" s="173" t="s">
        <v>1249</v>
      </c>
      <c r="D143" s="960" t="s">
        <v>1250</v>
      </c>
      <c r="E143" s="174">
        <v>4733.1899999999996</v>
      </c>
      <c r="F143" s="52">
        <f t="shared" si="24"/>
        <v>2603.2545</v>
      </c>
      <c r="G143" s="54">
        <f t="shared" si="25"/>
        <v>0</v>
      </c>
      <c r="H143" s="11">
        <f t="shared" si="26"/>
        <v>81.66409366500001</v>
      </c>
      <c r="I143" s="11">
        <f t="shared" si="27"/>
        <v>0</v>
      </c>
      <c r="J143" s="11">
        <f t="shared" si="48"/>
        <v>71.329173300000008</v>
      </c>
      <c r="K143" s="11">
        <f t="shared" si="29"/>
        <v>0</v>
      </c>
      <c r="L143" s="11">
        <f t="shared" si="47"/>
        <v>59.354202600000001</v>
      </c>
      <c r="M143" s="11">
        <f t="shared" si="31"/>
        <v>0</v>
      </c>
      <c r="N143" s="11">
        <f t="shared" si="32"/>
        <v>53.106391800000004</v>
      </c>
      <c r="O143" s="11">
        <f t="shared" si="33"/>
        <v>0</v>
      </c>
      <c r="P143" s="11">
        <f t="shared" si="36"/>
        <v>1.5107857328025001</v>
      </c>
      <c r="Q143" s="11">
        <f t="shared" si="35"/>
        <v>0</v>
      </c>
      <c r="R143" s="415"/>
      <c r="S143" s="415"/>
    </row>
    <row r="144" spans="1:19" s="180" customFormat="1" ht="13.5" thickBot="1">
      <c r="A144" s="1328"/>
      <c r="B144" s="416"/>
      <c r="C144" s="297" t="s">
        <v>1146</v>
      </c>
      <c r="D144" s="575" t="s">
        <v>1147</v>
      </c>
      <c r="E144" s="177">
        <v>11627.62</v>
      </c>
      <c r="F144" s="8">
        <f t="shared" si="24"/>
        <v>6395.1910000000007</v>
      </c>
      <c r="G144" s="9">
        <f t="shared" si="25"/>
        <v>0</v>
      </c>
      <c r="H144" s="52">
        <f t="shared" si="26"/>
        <v>200.61714167000002</v>
      </c>
      <c r="I144" s="11">
        <f t="shared" si="27"/>
        <v>0</v>
      </c>
      <c r="J144" s="11">
        <f t="shared" si="48"/>
        <v>175.22823340000002</v>
      </c>
      <c r="K144" s="11">
        <f t="shared" si="29"/>
        <v>0</v>
      </c>
      <c r="L144" s="11">
        <f t="shared" si="47"/>
        <v>145.81035480000003</v>
      </c>
      <c r="M144" s="11">
        <f t="shared" si="31"/>
        <v>0</v>
      </c>
      <c r="N144" s="11">
        <f t="shared" si="32"/>
        <v>130.46189640000003</v>
      </c>
      <c r="O144" s="11">
        <f t="shared" si="33"/>
        <v>0</v>
      </c>
      <c r="P144" s="11">
        <f t="shared" si="36"/>
        <v>3.7114171208950002</v>
      </c>
      <c r="Q144" s="11">
        <f t="shared" si="35"/>
        <v>0</v>
      </c>
      <c r="R144" s="415"/>
      <c r="S144" s="415"/>
    </row>
    <row r="145" spans="1:19" s="180" customFormat="1" ht="13.5" thickBot="1">
      <c r="A145" s="1328"/>
      <c r="B145" s="416"/>
      <c r="C145" s="797" t="s">
        <v>1251</v>
      </c>
      <c r="D145" s="960" t="s">
        <v>1252</v>
      </c>
      <c r="E145" s="172">
        <v>6666.66</v>
      </c>
      <c r="F145" s="8">
        <f t="shared" si="24"/>
        <v>3666.663</v>
      </c>
      <c r="G145" s="9">
        <f t="shared" si="25"/>
        <v>0</v>
      </c>
      <c r="H145" s="52">
        <f t="shared" si="26"/>
        <v>115.02321831</v>
      </c>
      <c r="I145" s="11">
        <f t="shared" si="27"/>
        <v>0</v>
      </c>
      <c r="J145" s="11">
        <f t="shared" si="48"/>
        <v>100.4665662</v>
      </c>
      <c r="K145" s="11">
        <f t="shared" si="29"/>
        <v>0</v>
      </c>
      <c r="L145" s="11">
        <f t="shared" si="47"/>
        <v>83.599916399999998</v>
      </c>
      <c r="M145" s="11">
        <f t="shared" si="31"/>
        <v>0</v>
      </c>
      <c r="N145" s="11">
        <f t="shared" si="32"/>
        <v>74.799925200000004</v>
      </c>
      <c r="O145" s="11">
        <f t="shared" si="33"/>
        <v>0</v>
      </c>
      <c r="P145" s="11">
        <f t="shared" si="36"/>
        <v>2.1279295387350001</v>
      </c>
      <c r="Q145" s="11">
        <f t="shared" si="35"/>
        <v>0</v>
      </c>
      <c r="R145" s="415"/>
      <c r="S145" s="415"/>
    </row>
    <row r="146" spans="1:19" s="180" customFormat="1" ht="13.5" thickBot="1">
      <c r="A146" s="1328"/>
      <c r="B146" s="416"/>
      <c r="C146" s="173" t="s">
        <v>1253</v>
      </c>
      <c r="D146" s="960" t="s">
        <v>1254</v>
      </c>
      <c r="E146" s="172">
        <v>36766.33</v>
      </c>
      <c r="F146" s="8">
        <f t="shared" si="24"/>
        <v>20221.481500000002</v>
      </c>
      <c r="G146" s="9">
        <f t="shared" si="25"/>
        <v>0</v>
      </c>
      <c r="H146" s="52">
        <f t="shared" si="26"/>
        <v>634.34787465500006</v>
      </c>
      <c r="I146" s="11">
        <f t="shared" si="27"/>
        <v>0</v>
      </c>
      <c r="J146" s="11">
        <f t="shared" si="48"/>
        <v>554.06859310000004</v>
      </c>
      <c r="K146" s="11">
        <f t="shared" si="29"/>
        <v>0</v>
      </c>
      <c r="L146" s="11">
        <f t="shared" si="47"/>
        <v>461.04977820000005</v>
      </c>
      <c r="M146" s="11">
        <f t="shared" si="31"/>
        <v>0</v>
      </c>
      <c r="N146" s="11">
        <f t="shared" si="32"/>
        <v>412.51822260000006</v>
      </c>
      <c r="O146" s="11">
        <f t="shared" si="33"/>
        <v>0</v>
      </c>
      <c r="P146" s="11">
        <f t="shared" si="36"/>
        <v>11.735435681117501</v>
      </c>
      <c r="Q146" s="11">
        <f t="shared" si="35"/>
        <v>0</v>
      </c>
      <c r="R146" s="415"/>
      <c r="S146" s="415"/>
    </row>
    <row r="147" spans="1:19" s="180" customFormat="1" ht="13.5" thickBot="1">
      <c r="A147" s="1328"/>
      <c r="B147" s="416"/>
      <c r="C147" s="173" t="s">
        <v>1136</v>
      </c>
      <c r="D147" s="960" t="s">
        <v>1137</v>
      </c>
      <c r="E147" s="172">
        <v>2613.81</v>
      </c>
      <c r="F147" s="8">
        <f t="shared" si="24"/>
        <v>1437.5955000000001</v>
      </c>
      <c r="G147" s="9">
        <f t="shared" si="25"/>
        <v>0</v>
      </c>
      <c r="H147" s="52">
        <f t="shared" si="26"/>
        <v>45.097370835000007</v>
      </c>
      <c r="I147" s="11">
        <f t="shared" si="27"/>
        <v>0</v>
      </c>
      <c r="J147" s="11">
        <f t="shared" si="48"/>
        <v>39.390116700000007</v>
      </c>
      <c r="K147" s="11">
        <f t="shared" si="29"/>
        <v>0</v>
      </c>
      <c r="L147" s="11">
        <f t="shared" si="47"/>
        <v>32.777177400000006</v>
      </c>
      <c r="M147" s="11">
        <f t="shared" si="31"/>
        <v>0</v>
      </c>
      <c r="N147" s="11">
        <f t="shared" si="32"/>
        <v>29.326948200000004</v>
      </c>
      <c r="O147" s="11">
        <f t="shared" si="33"/>
        <v>0</v>
      </c>
      <c r="P147" s="11">
        <f t="shared" si="36"/>
        <v>0.83430136044750003</v>
      </c>
      <c r="Q147" s="11">
        <f t="shared" si="35"/>
        <v>0</v>
      </c>
      <c r="R147" s="415"/>
      <c r="S147" s="415"/>
    </row>
    <row r="148" spans="1:19" s="180" customFormat="1" ht="13.5" thickBot="1">
      <c r="A148" s="1328"/>
      <c r="B148" s="873"/>
      <c r="C148" s="173" t="s">
        <v>1255</v>
      </c>
      <c r="D148" s="960" t="s">
        <v>1256</v>
      </c>
      <c r="E148" s="174">
        <v>21425.81</v>
      </c>
      <c r="F148" s="52">
        <f t="shared" si="24"/>
        <v>11784.195500000002</v>
      </c>
      <c r="G148" s="53">
        <f t="shared" si="25"/>
        <v>0</v>
      </c>
      <c r="H148" s="52">
        <f t="shared" si="26"/>
        <v>369.67021283500009</v>
      </c>
      <c r="I148" s="11">
        <f t="shared" si="27"/>
        <v>0</v>
      </c>
      <c r="J148" s="11">
        <f t="shared" si="48"/>
        <v>322.88695670000004</v>
      </c>
      <c r="K148" s="11">
        <f t="shared" si="29"/>
        <v>0</v>
      </c>
      <c r="L148" s="11">
        <f t="shared" si="47"/>
        <v>268.67965740000005</v>
      </c>
      <c r="M148" s="11">
        <f t="shared" si="31"/>
        <v>0</v>
      </c>
      <c r="N148" s="11">
        <f t="shared" si="32"/>
        <v>240.39758820000006</v>
      </c>
      <c r="O148" s="11">
        <f t="shared" si="33"/>
        <v>0</v>
      </c>
      <c r="P148" s="11">
        <f t="shared" si="36"/>
        <v>6.8388989374475013</v>
      </c>
      <c r="Q148" s="11">
        <f t="shared" si="35"/>
        <v>0</v>
      </c>
      <c r="R148" s="415"/>
      <c r="S148" s="415"/>
    </row>
    <row r="149" spans="1:19" s="180" customFormat="1" ht="13.5" thickBot="1">
      <c r="A149" s="1328"/>
      <c r="B149" s="416"/>
      <c r="C149" s="173" t="s">
        <v>1257</v>
      </c>
      <c r="D149" s="960" t="s">
        <v>1258</v>
      </c>
      <c r="E149" s="172">
        <v>21395.78</v>
      </c>
      <c r="F149" s="8">
        <f t="shared" si="24"/>
        <v>11767.679</v>
      </c>
      <c r="G149" s="9">
        <f t="shared" si="25"/>
        <v>0</v>
      </c>
      <c r="H149" s="52">
        <f t="shared" si="26"/>
        <v>369.15209023</v>
      </c>
      <c r="I149" s="11">
        <f t="shared" si="27"/>
        <v>0</v>
      </c>
      <c r="J149" s="11">
        <f t="shared" si="48"/>
        <v>322.43440459999999</v>
      </c>
      <c r="K149" s="11">
        <f t="shared" si="29"/>
        <v>0</v>
      </c>
      <c r="L149" s="11">
        <f t="shared" si="47"/>
        <v>268.30308120000001</v>
      </c>
      <c r="M149" s="11">
        <f t="shared" si="31"/>
        <v>0</v>
      </c>
      <c r="N149" s="11">
        <f t="shared" si="32"/>
        <v>240.06065160000003</v>
      </c>
      <c r="O149" s="11">
        <f t="shared" si="33"/>
        <v>0</v>
      </c>
      <c r="P149" s="11">
        <f t="shared" si="36"/>
        <v>6.8293136692549998</v>
      </c>
      <c r="Q149" s="11">
        <f t="shared" si="35"/>
        <v>0</v>
      </c>
      <c r="R149" s="415"/>
      <c r="S149" s="415"/>
    </row>
    <row r="150" spans="1:19" s="180" customFormat="1" ht="13.5" thickBot="1">
      <c r="A150" s="1328"/>
      <c r="B150" s="416"/>
      <c r="C150" s="797" t="s">
        <v>1259</v>
      </c>
      <c r="D150" s="960" t="s">
        <v>1260</v>
      </c>
      <c r="E150" s="172">
        <v>6604.8</v>
      </c>
      <c r="F150" s="8">
        <f t="shared" si="24"/>
        <v>3632.6400000000003</v>
      </c>
      <c r="G150" s="9">
        <f t="shared" si="25"/>
        <v>0</v>
      </c>
      <c r="H150" s="52">
        <f t="shared" si="26"/>
        <v>113.95591680000001</v>
      </c>
      <c r="I150" s="11">
        <f t="shared" si="27"/>
        <v>0</v>
      </c>
      <c r="J150" s="11">
        <f t="shared" si="48"/>
        <v>99.53433600000001</v>
      </c>
      <c r="K150" s="11">
        <f t="shared" si="29"/>
        <v>0</v>
      </c>
      <c r="L150" s="11">
        <f t="shared" si="47"/>
        <v>82.824192000000011</v>
      </c>
      <c r="M150" s="11">
        <f t="shared" si="31"/>
        <v>0</v>
      </c>
      <c r="N150" s="11">
        <f t="shared" si="32"/>
        <v>74.105856000000017</v>
      </c>
      <c r="O150" s="11">
        <f t="shared" si="33"/>
        <v>0</v>
      </c>
      <c r="P150" s="11">
        <f t="shared" si="36"/>
        <v>2.1081844608</v>
      </c>
      <c r="Q150" s="11">
        <f t="shared" si="35"/>
        <v>0</v>
      </c>
      <c r="R150" s="415"/>
      <c r="S150" s="415"/>
    </row>
    <row r="151" spans="1:19" s="180" customFormat="1" ht="13.5" thickBot="1">
      <c r="A151" s="1328"/>
      <c r="B151" s="416"/>
      <c r="C151" s="798" t="s">
        <v>1261</v>
      </c>
      <c r="D151" s="961" t="s">
        <v>1262</v>
      </c>
      <c r="E151" s="177">
        <v>20929.71</v>
      </c>
      <c r="F151" s="8">
        <f t="shared" si="24"/>
        <v>11511.3405</v>
      </c>
      <c r="G151" s="9">
        <f t="shared" si="25"/>
        <v>0</v>
      </c>
      <c r="H151" s="52">
        <f t="shared" si="26"/>
        <v>361.11075148500004</v>
      </c>
      <c r="I151" s="11">
        <f t="shared" si="27"/>
        <v>0</v>
      </c>
      <c r="J151" s="11">
        <f t="shared" si="48"/>
        <v>315.41072969999999</v>
      </c>
      <c r="K151" s="11">
        <f t="shared" si="29"/>
        <v>0</v>
      </c>
      <c r="L151" s="11">
        <f t="shared" si="47"/>
        <v>262.4585634</v>
      </c>
      <c r="M151" s="11">
        <f t="shared" si="31"/>
        <v>0</v>
      </c>
      <c r="N151" s="11">
        <f t="shared" si="32"/>
        <v>234.83134620000001</v>
      </c>
      <c r="O151" s="11">
        <f t="shared" si="33"/>
        <v>0</v>
      </c>
      <c r="P151" s="11">
        <f t="shared" si="36"/>
        <v>6.6805489024725002</v>
      </c>
      <c r="Q151" s="11">
        <f t="shared" si="35"/>
        <v>0</v>
      </c>
      <c r="R151" s="415"/>
      <c r="S151" s="415"/>
    </row>
    <row r="152" spans="1:19" s="180" customFormat="1" ht="13.5" thickBot="1">
      <c r="A152" s="1328"/>
      <c r="B152" s="416"/>
      <c r="C152" s="297" t="s">
        <v>3973</v>
      </c>
      <c r="D152" s="575" t="s">
        <v>3974</v>
      </c>
      <c r="E152" s="177">
        <v>6534.53</v>
      </c>
      <c r="F152" s="8">
        <f t="shared" si="24"/>
        <v>3593.9915000000001</v>
      </c>
      <c r="G152" s="9">
        <f t="shared" si="25"/>
        <v>0</v>
      </c>
      <c r="H152" s="52">
        <f t="shared" si="26"/>
        <v>112.743513355</v>
      </c>
      <c r="I152" s="11">
        <f t="shared" si="27"/>
        <v>0</v>
      </c>
      <c r="J152" s="11">
        <f t="shared" si="48"/>
        <v>98.4753671</v>
      </c>
      <c r="K152" s="11">
        <f t="shared" si="29"/>
        <v>0</v>
      </c>
      <c r="L152" s="11">
        <f t="shared" si="47"/>
        <v>81.943006199999999</v>
      </c>
      <c r="M152" s="11">
        <f t="shared" si="31"/>
        <v>0</v>
      </c>
      <c r="N152" s="11">
        <f t="shared" si="32"/>
        <v>73.317426600000005</v>
      </c>
      <c r="O152" s="11">
        <f t="shared" si="33"/>
        <v>0</v>
      </c>
      <c r="P152" s="11">
        <f t="shared" si="36"/>
        <v>2.0857549970674998</v>
      </c>
      <c r="Q152" s="11">
        <f t="shared" si="35"/>
        <v>0</v>
      </c>
      <c r="R152" s="415"/>
      <c r="S152" s="415"/>
    </row>
    <row r="153" spans="1:19" s="180" customFormat="1" ht="13.5" thickBot="1">
      <c r="A153" s="1328"/>
      <c r="B153" s="416"/>
      <c r="C153" s="297" t="s">
        <v>3975</v>
      </c>
      <c r="D153" s="575" t="s">
        <v>3976</v>
      </c>
      <c r="E153" s="177">
        <v>43398.58</v>
      </c>
      <c r="F153" s="8">
        <f t="shared" si="24"/>
        <v>23869.219000000005</v>
      </c>
      <c r="G153" s="9">
        <f t="shared" si="25"/>
        <v>0</v>
      </c>
      <c r="H153" s="52">
        <f t="shared" si="26"/>
        <v>748.77740003000019</v>
      </c>
      <c r="I153" s="11">
        <f t="shared" si="27"/>
        <v>0</v>
      </c>
      <c r="J153" s="11">
        <f t="shared" si="48"/>
        <v>654.01660060000017</v>
      </c>
      <c r="K153" s="11">
        <f t="shared" si="29"/>
        <v>0</v>
      </c>
      <c r="L153" s="11">
        <f t="shared" si="47"/>
        <v>544.21819320000009</v>
      </c>
      <c r="M153" s="11">
        <f t="shared" si="31"/>
        <v>0</v>
      </c>
      <c r="N153" s="11">
        <f t="shared" si="32"/>
        <v>486.93206760000015</v>
      </c>
      <c r="O153" s="11">
        <f t="shared" si="33"/>
        <v>0</v>
      </c>
      <c r="P153" s="11">
        <f t="shared" si="36"/>
        <v>13.852381900555002</v>
      </c>
      <c r="Q153" s="11">
        <f t="shared" si="35"/>
        <v>0</v>
      </c>
      <c r="R153" s="415"/>
      <c r="S153" s="415"/>
    </row>
    <row r="154" spans="1:19" s="180" customFormat="1" ht="13.5" thickBot="1">
      <c r="A154" s="1328"/>
      <c r="B154" s="416"/>
      <c r="C154" s="797" t="s">
        <v>1331</v>
      </c>
      <c r="D154" s="960" t="s">
        <v>1332</v>
      </c>
      <c r="E154" s="172">
        <v>3303.3</v>
      </c>
      <c r="F154" s="8">
        <f t="shared" si="24"/>
        <v>1816.8150000000003</v>
      </c>
      <c r="G154" s="9">
        <f t="shared" si="25"/>
        <v>0</v>
      </c>
      <c r="H154" s="52">
        <f t="shared" si="26"/>
        <v>56.993486550000014</v>
      </c>
      <c r="I154" s="11">
        <f t="shared" si="27"/>
        <v>0</v>
      </c>
      <c r="J154" s="11">
        <f t="shared" si="48"/>
        <v>49.78073100000001</v>
      </c>
      <c r="K154" s="11">
        <f t="shared" si="29"/>
        <v>0</v>
      </c>
      <c r="L154" s="11">
        <f t="shared" si="47"/>
        <v>41.423382000000011</v>
      </c>
      <c r="M154" s="11">
        <f t="shared" si="31"/>
        <v>0</v>
      </c>
      <c r="N154" s="11">
        <f t="shared" si="32"/>
        <v>37.063026000000008</v>
      </c>
      <c r="O154" s="11">
        <f t="shared" si="33"/>
        <v>0</v>
      </c>
      <c r="P154" s="11">
        <f t="shared" si="36"/>
        <v>1.0543795011750001</v>
      </c>
      <c r="Q154" s="11">
        <f t="shared" si="35"/>
        <v>0</v>
      </c>
      <c r="R154" s="415"/>
      <c r="S154" s="415"/>
    </row>
    <row r="155" spans="1:19" s="180" customFormat="1" ht="13.5" thickBot="1">
      <c r="A155" s="1328"/>
      <c r="B155" s="416"/>
      <c r="C155" s="173" t="s">
        <v>1265</v>
      </c>
      <c r="D155" s="960" t="s">
        <v>1280</v>
      </c>
      <c r="E155" s="172">
        <v>10828.82</v>
      </c>
      <c r="F155" s="8">
        <f t="shared" si="24"/>
        <v>5955.8510000000006</v>
      </c>
      <c r="G155" s="9">
        <f t="shared" si="25"/>
        <v>0</v>
      </c>
      <c r="H155" s="52">
        <f t="shared" si="26"/>
        <v>186.83504587000002</v>
      </c>
      <c r="I155" s="11">
        <f t="shared" si="27"/>
        <v>0</v>
      </c>
      <c r="J155" s="11">
        <f t="shared" si="48"/>
        <v>163.19031740000003</v>
      </c>
      <c r="K155" s="11">
        <f t="shared" si="29"/>
        <v>0</v>
      </c>
      <c r="L155" s="11">
        <f t="shared" si="47"/>
        <v>135.79340280000002</v>
      </c>
      <c r="M155" s="11">
        <f t="shared" si="31"/>
        <v>0</v>
      </c>
      <c r="N155" s="11">
        <f t="shared" si="32"/>
        <v>121.49936040000001</v>
      </c>
      <c r="O155" s="11">
        <f t="shared" si="33"/>
        <v>0</v>
      </c>
      <c r="P155" s="11">
        <f t="shared" si="36"/>
        <v>3.4564483485949999</v>
      </c>
      <c r="Q155" s="11">
        <f t="shared" si="35"/>
        <v>0</v>
      </c>
      <c r="R155" s="415"/>
      <c r="S155" s="415"/>
    </row>
    <row r="156" spans="1:19" s="180" customFormat="1" ht="13.5" thickBot="1">
      <c r="A156" s="1328"/>
      <c r="B156" s="416"/>
      <c r="C156" s="297" t="s">
        <v>1268</v>
      </c>
      <c r="D156" s="575" t="s">
        <v>1269</v>
      </c>
      <c r="E156" s="177">
        <v>24034.82</v>
      </c>
      <c r="F156" s="8">
        <f t="shared" si="24"/>
        <v>13219.151000000002</v>
      </c>
      <c r="G156" s="9">
        <f t="shared" si="25"/>
        <v>0</v>
      </c>
      <c r="H156" s="52">
        <f t="shared" si="26"/>
        <v>414.68476687000009</v>
      </c>
      <c r="I156" s="11">
        <f t="shared" si="27"/>
        <v>0</v>
      </c>
      <c r="J156" s="11">
        <f t="shared" si="48"/>
        <v>362.20473740000006</v>
      </c>
      <c r="K156" s="11">
        <f t="shared" si="29"/>
        <v>0</v>
      </c>
      <c r="L156" s="11">
        <f t="shared" si="47"/>
        <v>301.39664280000005</v>
      </c>
      <c r="M156" s="11">
        <f t="shared" si="31"/>
        <v>0</v>
      </c>
      <c r="N156" s="11">
        <f t="shared" si="32"/>
        <v>269.67068040000004</v>
      </c>
      <c r="O156" s="11">
        <f t="shared" si="33"/>
        <v>0</v>
      </c>
      <c r="P156" s="11">
        <f t="shared" si="36"/>
        <v>7.6716681870950012</v>
      </c>
      <c r="Q156" s="11">
        <f t="shared" si="35"/>
        <v>0</v>
      </c>
      <c r="R156" s="415"/>
      <c r="S156" s="415"/>
    </row>
    <row r="157" spans="1:19" s="180" customFormat="1" ht="13.5" thickBot="1">
      <c r="A157" s="1328"/>
      <c r="B157" s="416"/>
      <c r="C157" s="297" t="s">
        <v>4020</v>
      </c>
      <c r="D157" s="575" t="s">
        <v>1350</v>
      </c>
      <c r="E157" s="177">
        <v>4225.82</v>
      </c>
      <c r="F157" s="8">
        <f t="shared" si="24"/>
        <v>2324.201</v>
      </c>
      <c r="G157" s="9">
        <f t="shared" si="25"/>
        <v>0</v>
      </c>
      <c r="H157" s="52">
        <f t="shared" si="26"/>
        <v>72.910185370000008</v>
      </c>
      <c r="I157" s="11">
        <f t="shared" si="27"/>
        <v>0</v>
      </c>
      <c r="J157" s="11">
        <f t="shared" si="48"/>
        <v>63.683107400000004</v>
      </c>
      <c r="K157" s="11">
        <f t="shared" si="29"/>
        <v>0</v>
      </c>
      <c r="L157" s="11">
        <f t="shared" si="47"/>
        <v>52.991782800000003</v>
      </c>
      <c r="M157" s="11">
        <f t="shared" si="31"/>
        <v>0</v>
      </c>
      <c r="N157" s="11">
        <f t="shared" si="32"/>
        <v>47.413700400000003</v>
      </c>
      <c r="O157" s="11">
        <f t="shared" si="33"/>
        <v>0</v>
      </c>
      <c r="P157" s="11">
        <f t="shared" si="36"/>
        <v>1.348838429345</v>
      </c>
      <c r="Q157" s="11">
        <f t="shared" si="35"/>
        <v>0</v>
      </c>
      <c r="R157" s="415"/>
      <c r="S157" s="415"/>
    </row>
    <row r="158" spans="1:19" s="180" customFormat="1" ht="13.5" thickBot="1">
      <c r="A158" s="1328"/>
      <c r="B158" s="416"/>
      <c r="C158" s="173" t="s">
        <v>1333</v>
      </c>
      <c r="D158" s="960" t="s">
        <v>1334</v>
      </c>
      <c r="E158" s="172">
        <v>1189.19</v>
      </c>
      <c r="F158" s="8">
        <f t="shared" si="24"/>
        <v>654.05450000000008</v>
      </c>
      <c r="G158" s="9">
        <f t="shared" si="25"/>
        <v>0</v>
      </c>
      <c r="H158" s="52">
        <f t="shared" si="26"/>
        <v>20.517689665000002</v>
      </c>
      <c r="I158" s="11">
        <f t="shared" si="27"/>
        <v>0</v>
      </c>
      <c r="J158" s="11">
        <f t="shared" si="48"/>
        <v>17.921093300000003</v>
      </c>
      <c r="K158" s="11">
        <f t="shared" si="29"/>
        <v>0</v>
      </c>
      <c r="L158" s="11">
        <f t="shared" si="47"/>
        <v>14.912442600000002</v>
      </c>
      <c r="M158" s="11">
        <f t="shared" si="31"/>
        <v>0</v>
      </c>
      <c r="N158" s="11">
        <f t="shared" si="32"/>
        <v>13.342711800000002</v>
      </c>
      <c r="O158" s="11">
        <f t="shared" si="33"/>
        <v>0</v>
      </c>
      <c r="P158" s="11">
        <f t="shared" si="36"/>
        <v>0.37957725880250004</v>
      </c>
      <c r="Q158" s="11">
        <f t="shared" si="35"/>
        <v>0</v>
      </c>
      <c r="R158" s="415"/>
      <c r="S158" s="415"/>
    </row>
    <row r="159" spans="1:19" s="180" customFormat="1" ht="13.5" thickBot="1">
      <c r="A159" s="1328"/>
      <c r="B159" s="416"/>
      <c r="C159" s="797" t="s">
        <v>1409</v>
      </c>
      <c r="D159" s="960" t="s">
        <v>1410</v>
      </c>
      <c r="E159" s="172">
        <v>1876.28</v>
      </c>
      <c r="F159" s="8">
        <f t="shared" si="24"/>
        <v>1031.9540000000002</v>
      </c>
      <c r="G159" s="9">
        <f t="shared" si="25"/>
        <v>0</v>
      </c>
      <c r="H159" s="52">
        <f t="shared" si="26"/>
        <v>32.372396980000005</v>
      </c>
      <c r="I159" s="11">
        <f t="shared" si="27"/>
        <v>0</v>
      </c>
      <c r="J159" s="11">
        <f t="shared" si="48"/>
        <v>28.275539600000005</v>
      </c>
      <c r="K159" s="11">
        <f t="shared" si="29"/>
        <v>0</v>
      </c>
      <c r="L159" s="11">
        <f t="shared" si="47"/>
        <v>23.528551200000006</v>
      </c>
      <c r="M159" s="11">
        <f t="shared" si="31"/>
        <v>0</v>
      </c>
      <c r="N159" s="11">
        <f t="shared" si="32"/>
        <v>21.051861600000006</v>
      </c>
      <c r="O159" s="11">
        <f t="shared" si="33"/>
        <v>0</v>
      </c>
      <c r="P159" s="11">
        <f t="shared" si="36"/>
        <v>0.59888934413000006</v>
      </c>
      <c r="Q159" s="11">
        <f t="shared" si="35"/>
        <v>0</v>
      </c>
      <c r="R159" s="415"/>
      <c r="S159" s="415"/>
    </row>
    <row r="160" spans="1:19" s="421" customFormat="1">
      <c r="A160" s="414"/>
      <c r="D160" s="1303" t="s">
        <v>65</v>
      </c>
      <c r="E160" s="1304"/>
      <c r="F160" s="1304"/>
      <c r="G160" s="51">
        <f>SUM(G30:G159)+G27</f>
        <v>0</v>
      </c>
      <c r="H160" s="178" t="s">
        <v>154</v>
      </c>
      <c r="I160" s="51">
        <f>SUM(I30:I159)+I27</f>
        <v>0</v>
      </c>
      <c r="J160" s="178" t="s">
        <v>155</v>
      </c>
      <c r="K160" s="51">
        <f>SUM(K30:K159)+K27</f>
        <v>0</v>
      </c>
      <c r="L160" s="178" t="s">
        <v>156</v>
      </c>
      <c r="M160" s="51">
        <f>SUM(M30:M159)+M27</f>
        <v>0</v>
      </c>
      <c r="N160" s="178" t="s">
        <v>1337</v>
      </c>
      <c r="O160" s="51">
        <f>SUM(O30:O159)+O27</f>
        <v>0</v>
      </c>
      <c r="P160" s="178" t="s">
        <v>1338</v>
      </c>
      <c r="Q160" s="51">
        <f>SUM(Q30:Q159)+Q27</f>
        <v>0</v>
      </c>
    </row>
    <row r="161" spans="6:8" s="421" customFormat="1" ht="12.75">
      <c r="F161" s="330"/>
      <c r="G161" s="330"/>
      <c r="H161" s="423"/>
    </row>
    <row r="162" spans="6:8" s="421" customFormat="1" ht="12.75">
      <c r="F162" s="330"/>
      <c r="G162" s="330"/>
    </row>
    <row r="163" spans="6:8" s="421" customFormat="1" ht="12.75">
      <c r="F163" s="330"/>
      <c r="G163" s="330"/>
    </row>
    <row r="164" spans="6:8" s="421" customFormat="1" ht="12.75">
      <c r="F164" s="330"/>
      <c r="G164" s="330"/>
    </row>
    <row r="165" spans="6:8" s="421" customFormat="1" ht="12.75">
      <c r="F165" s="330"/>
      <c r="G165" s="330"/>
    </row>
    <row r="166" spans="6:8" s="421" customFormat="1" ht="12.75">
      <c r="F166" s="330"/>
      <c r="G166" s="330"/>
    </row>
    <row r="167" spans="6:8" s="421" customFormat="1" ht="12.75">
      <c r="F167" s="330"/>
      <c r="G167" s="330"/>
    </row>
    <row r="168" spans="6:8" s="421" customFormat="1" ht="12.75">
      <c r="F168" s="330"/>
      <c r="G168" s="330"/>
    </row>
    <row r="169" spans="6:8" s="421" customFormat="1" ht="12.75">
      <c r="F169" s="330"/>
      <c r="G169" s="330"/>
    </row>
    <row r="170" spans="6:8" s="421" customFormat="1" ht="12.75">
      <c r="F170" s="330"/>
      <c r="G170" s="330"/>
    </row>
    <row r="171" spans="6:8" s="421" customFormat="1" ht="12.75">
      <c r="F171" s="330"/>
      <c r="G171" s="330"/>
    </row>
    <row r="172" spans="6:8" s="421" customFormat="1" ht="12.75">
      <c r="F172" s="330"/>
      <c r="G172" s="330"/>
    </row>
    <row r="173" spans="6:8" s="421" customFormat="1" ht="12.75">
      <c r="F173" s="330"/>
      <c r="G173" s="330"/>
    </row>
    <row r="174" spans="6:8" s="421" customFormat="1" ht="12.75">
      <c r="F174" s="330"/>
      <c r="G174" s="330"/>
    </row>
    <row r="175" spans="6:8" s="421" customFormat="1" ht="12.75">
      <c r="F175" s="330"/>
      <c r="G175" s="330"/>
    </row>
    <row r="176" spans="6:8" s="421" customFormat="1" ht="12.75">
      <c r="F176" s="330"/>
      <c r="G176" s="330"/>
    </row>
    <row r="177" spans="2:7" s="421" customFormat="1" ht="12.75">
      <c r="B177" s="179"/>
      <c r="C177" s="179"/>
      <c r="F177" s="330"/>
      <c r="G177" s="330"/>
    </row>
    <row r="178" spans="2:7" s="421" customFormat="1" ht="12.75">
      <c r="F178" s="330"/>
      <c r="G178" s="330"/>
    </row>
    <row r="179" spans="2:7" s="421" customFormat="1" ht="12.75">
      <c r="F179" s="330"/>
      <c r="G179" s="330"/>
    </row>
    <row r="180" spans="2:7" s="421" customFormat="1" ht="12.75">
      <c r="F180" s="330"/>
      <c r="G180" s="330"/>
    </row>
    <row r="181" spans="2:7" s="421" customFormat="1" ht="12.75">
      <c r="F181" s="330"/>
      <c r="G181" s="330"/>
    </row>
    <row r="182" spans="2:7" s="421" customFormat="1" ht="12.75">
      <c r="F182" s="330"/>
      <c r="G182" s="330"/>
    </row>
    <row r="183" spans="2:7" s="421" customFormat="1" ht="12.75">
      <c r="F183" s="330"/>
      <c r="G183" s="330"/>
    </row>
    <row r="184" spans="2:7" s="421" customFormat="1" ht="12.75">
      <c r="F184" s="330"/>
      <c r="G184" s="330"/>
    </row>
    <row r="185" spans="2:7" s="421" customFormat="1" ht="12.75">
      <c r="F185" s="330"/>
      <c r="G185" s="330"/>
    </row>
    <row r="186" spans="2:7" s="421" customFormat="1" ht="12.75">
      <c r="F186" s="330"/>
      <c r="G186" s="330"/>
    </row>
    <row r="187" spans="2:7" s="421" customFormat="1" ht="12.75">
      <c r="F187" s="330"/>
      <c r="G187" s="330"/>
    </row>
    <row r="188" spans="2:7" s="421" customFormat="1" ht="12.75">
      <c r="F188" s="330"/>
      <c r="G188" s="330"/>
    </row>
    <row r="189" spans="2:7" s="421" customFormat="1" ht="12.75">
      <c r="F189" s="330"/>
      <c r="G189" s="330"/>
    </row>
    <row r="190" spans="2:7" s="421" customFormat="1" ht="12.75">
      <c r="F190" s="330"/>
      <c r="G190" s="330"/>
    </row>
    <row r="191" spans="2:7" s="421" customFormat="1" ht="12.75">
      <c r="F191" s="330"/>
      <c r="G191" s="330"/>
    </row>
    <row r="192" spans="2:7" s="421" customFormat="1" ht="12.75">
      <c r="F192" s="330"/>
      <c r="G192" s="330"/>
    </row>
    <row r="193" spans="6:7" s="421" customFormat="1" ht="12.75">
      <c r="F193" s="330"/>
      <c r="G193" s="330"/>
    </row>
    <row r="194" spans="6:7" s="421" customFormat="1" ht="12.75">
      <c r="F194" s="330"/>
      <c r="G194" s="330"/>
    </row>
    <row r="195" spans="6:7" s="421" customFormat="1" ht="12.75">
      <c r="F195" s="330"/>
      <c r="G195" s="330"/>
    </row>
    <row r="196" spans="6:7" s="421" customFormat="1" ht="12.75">
      <c r="F196" s="330"/>
      <c r="G196" s="330"/>
    </row>
    <row r="197" spans="6:7" s="421" customFormat="1" ht="12.75">
      <c r="F197" s="330"/>
      <c r="G197" s="330"/>
    </row>
    <row r="198" spans="6:7" s="421" customFormat="1" ht="12.75">
      <c r="F198" s="330"/>
      <c r="G198" s="330"/>
    </row>
    <row r="199" spans="6:7" s="421" customFormat="1" ht="12.75">
      <c r="F199" s="330"/>
      <c r="G199" s="330"/>
    </row>
    <row r="200" spans="6:7" s="421" customFormat="1" ht="12.75">
      <c r="F200" s="330"/>
      <c r="G200" s="330"/>
    </row>
    <row r="201" spans="6:7" s="421" customFormat="1" ht="12.75">
      <c r="F201" s="330"/>
      <c r="G201" s="330"/>
    </row>
    <row r="202" spans="6:7" s="421" customFormat="1" ht="12.75">
      <c r="F202" s="330"/>
      <c r="G202" s="330"/>
    </row>
    <row r="203" spans="6:7" s="421" customFormat="1" ht="12.75">
      <c r="F203" s="330"/>
      <c r="G203" s="330"/>
    </row>
    <row r="204" spans="6:7" s="421" customFormat="1" ht="12.75">
      <c r="F204" s="330"/>
      <c r="G204" s="330"/>
    </row>
    <row r="205" spans="6:7" s="421" customFormat="1" ht="12.75">
      <c r="F205" s="330"/>
      <c r="G205" s="330"/>
    </row>
    <row r="206" spans="6:7" s="421" customFormat="1" ht="12.75">
      <c r="F206" s="330"/>
      <c r="G206" s="330"/>
    </row>
    <row r="207" spans="6:7" s="421" customFormat="1" ht="12.75">
      <c r="F207" s="330"/>
      <c r="G207" s="330"/>
    </row>
    <row r="208" spans="6:7" s="421" customFormat="1" ht="12.75">
      <c r="F208" s="330"/>
      <c r="G208" s="330"/>
    </row>
    <row r="209" spans="6:7" s="421" customFormat="1" ht="12.75">
      <c r="F209" s="330"/>
      <c r="G209" s="330"/>
    </row>
    <row r="210" spans="6:7" s="421" customFormat="1" ht="12.75">
      <c r="F210" s="330"/>
      <c r="G210" s="330"/>
    </row>
    <row r="211" spans="6:7" s="421" customFormat="1" ht="12.75">
      <c r="F211" s="330"/>
      <c r="G211" s="330"/>
    </row>
    <row r="212" spans="6:7" s="421" customFormat="1" ht="12.75">
      <c r="F212" s="330"/>
      <c r="G212" s="330"/>
    </row>
    <row r="213" spans="6:7" s="421" customFormat="1" ht="12.75">
      <c r="F213" s="330"/>
      <c r="G213" s="330"/>
    </row>
    <row r="214" spans="6:7" s="421" customFormat="1" ht="12.75">
      <c r="F214" s="330"/>
      <c r="G214" s="330"/>
    </row>
    <row r="215" spans="6:7" s="421" customFormat="1" ht="12.75">
      <c r="F215" s="330"/>
      <c r="G215" s="330"/>
    </row>
    <row r="216" spans="6:7" s="421" customFormat="1" ht="12.75">
      <c r="F216" s="330"/>
      <c r="G216" s="330"/>
    </row>
    <row r="217" spans="6:7" s="421" customFormat="1" ht="12.75">
      <c r="F217" s="330"/>
      <c r="G217" s="330"/>
    </row>
    <row r="218" spans="6:7" s="421" customFormat="1" ht="12.75">
      <c r="F218" s="330"/>
      <c r="G218" s="330"/>
    </row>
    <row r="219" spans="6:7" s="421" customFormat="1" ht="12.75">
      <c r="F219" s="330"/>
      <c r="G219" s="330"/>
    </row>
    <row r="220" spans="6:7" s="421" customFormat="1" ht="12.75">
      <c r="F220" s="330"/>
      <c r="G220" s="330"/>
    </row>
    <row r="221" spans="6:7" s="421" customFormat="1" ht="12.75">
      <c r="F221" s="330"/>
      <c r="G221" s="330"/>
    </row>
    <row r="222" spans="6:7" s="421" customFormat="1" ht="12.75">
      <c r="F222" s="330"/>
      <c r="G222" s="330"/>
    </row>
    <row r="223" spans="6:7" s="421" customFormat="1" ht="12.75">
      <c r="F223" s="330"/>
      <c r="G223" s="330"/>
    </row>
    <row r="224" spans="6:7" s="421" customFormat="1" ht="12.75">
      <c r="F224" s="330"/>
      <c r="G224" s="330"/>
    </row>
    <row r="225" spans="6:7" s="421" customFormat="1" ht="12.75">
      <c r="F225" s="330"/>
      <c r="G225" s="330"/>
    </row>
    <row r="226" spans="6:7" s="421" customFormat="1" ht="12.75">
      <c r="F226" s="330"/>
      <c r="G226" s="330"/>
    </row>
    <row r="227" spans="6:7" s="421" customFormat="1" ht="12.75">
      <c r="F227" s="330"/>
      <c r="G227" s="330"/>
    </row>
    <row r="228" spans="6:7" s="421" customFormat="1" ht="12.75">
      <c r="F228" s="330"/>
      <c r="G228" s="330"/>
    </row>
    <row r="229" spans="6:7" s="421" customFormat="1" ht="12.75">
      <c r="F229" s="330"/>
      <c r="G229" s="330"/>
    </row>
    <row r="230" spans="6:7" s="421" customFormat="1" ht="12.75">
      <c r="F230" s="330"/>
      <c r="G230" s="330"/>
    </row>
    <row r="231" spans="6:7" s="421" customFormat="1" ht="12.75">
      <c r="F231" s="330"/>
      <c r="G231" s="330"/>
    </row>
    <row r="232" spans="6:7" s="421" customFormat="1" ht="12.75">
      <c r="F232" s="330"/>
      <c r="G232" s="330"/>
    </row>
    <row r="233" spans="6:7" s="421" customFormat="1" ht="12.75">
      <c r="F233" s="330"/>
      <c r="G233" s="330"/>
    </row>
    <row r="234" spans="6:7" s="421" customFormat="1" ht="12.75">
      <c r="F234" s="330"/>
      <c r="G234" s="330"/>
    </row>
    <row r="235" spans="6:7" s="421" customFormat="1" ht="12.75">
      <c r="F235" s="330"/>
      <c r="G235" s="330"/>
    </row>
    <row r="236" spans="6:7" s="421" customFormat="1" ht="12.75">
      <c r="F236" s="330"/>
      <c r="G236" s="330"/>
    </row>
    <row r="237" spans="6:7" s="421" customFormat="1" ht="12.75">
      <c r="F237" s="330"/>
      <c r="G237" s="330"/>
    </row>
    <row r="238" spans="6:7" s="421" customFormat="1" ht="12.75">
      <c r="F238" s="330"/>
      <c r="G238" s="330"/>
    </row>
    <row r="239" spans="6:7" s="421" customFormat="1" ht="12.75">
      <c r="F239" s="330"/>
      <c r="G239" s="330"/>
    </row>
    <row r="240" spans="6:7" s="421" customFormat="1" ht="12.75">
      <c r="F240" s="330"/>
      <c r="G240" s="330"/>
    </row>
    <row r="241" spans="6:7" s="421" customFormat="1" ht="12.75">
      <c r="F241" s="330"/>
      <c r="G241" s="330"/>
    </row>
    <row r="242" spans="6:7" s="421" customFormat="1" ht="12.75">
      <c r="F242" s="330"/>
      <c r="G242" s="330"/>
    </row>
    <row r="243" spans="6:7" s="421" customFormat="1" ht="12.75">
      <c r="F243" s="330"/>
      <c r="G243" s="330"/>
    </row>
    <row r="244" spans="6:7" s="421" customFormat="1" ht="12.75">
      <c r="F244" s="330"/>
      <c r="G244" s="330"/>
    </row>
    <row r="245" spans="6:7" s="421" customFormat="1" ht="12.75">
      <c r="F245" s="330"/>
      <c r="G245" s="330"/>
    </row>
    <row r="246" spans="6:7" s="421" customFormat="1" ht="12.75">
      <c r="F246" s="330"/>
      <c r="G246" s="330"/>
    </row>
    <row r="247" spans="6:7" s="421" customFormat="1" ht="12.75">
      <c r="F247" s="330"/>
      <c r="G247" s="330"/>
    </row>
    <row r="248" spans="6:7" s="421" customFormat="1" ht="12.75">
      <c r="F248" s="330"/>
      <c r="G248" s="330"/>
    </row>
    <row r="249" spans="6:7" s="421" customFormat="1" ht="12.75">
      <c r="F249" s="330"/>
      <c r="G249" s="330"/>
    </row>
    <row r="250" spans="6:7" s="421" customFormat="1" ht="12.75">
      <c r="F250" s="330"/>
      <c r="G250" s="330"/>
    </row>
    <row r="251" spans="6:7" s="421" customFormat="1" ht="12.75">
      <c r="F251" s="330"/>
      <c r="G251" s="330"/>
    </row>
    <row r="252" spans="6:7" s="421" customFormat="1" ht="12.75">
      <c r="F252" s="330"/>
      <c r="G252" s="330"/>
    </row>
    <row r="253" spans="6:7" s="421" customFormat="1" ht="12.75">
      <c r="F253" s="330"/>
      <c r="G253" s="330"/>
    </row>
    <row r="254" spans="6:7" s="421" customFormat="1" ht="12.75">
      <c r="F254" s="330"/>
      <c r="G254" s="330"/>
    </row>
    <row r="255" spans="6:7" s="421" customFormat="1" ht="12.75">
      <c r="F255" s="330"/>
      <c r="G255" s="330"/>
    </row>
    <row r="256" spans="6:7" s="421" customFormat="1" ht="12.75">
      <c r="F256" s="330"/>
      <c r="G256" s="330"/>
    </row>
    <row r="257" spans="1:17" s="421" customFormat="1" ht="12.75">
      <c r="F257" s="330"/>
      <c r="G257" s="330"/>
    </row>
    <row r="258" spans="1:17" s="421" customFormat="1" ht="12.75">
      <c r="F258" s="330"/>
      <c r="G258" s="330"/>
    </row>
    <row r="259" spans="1:17" s="421" customFormat="1" ht="12.75">
      <c r="F259" s="330"/>
      <c r="G259" s="330"/>
    </row>
    <row r="260" spans="1:17" s="421" customFormat="1" ht="12.75">
      <c r="F260" s="330"/>
      <c r="G260" s="330"/>
    </row>
    <row r="261" spans="1:17">
      <c r="A261" s="421"/>
      <c r="B261" s="421"/>
      <c r="C261" s="421"/>
      <c r="D261" s="421"/>
      <c r="E261" s="421"/>
      <c r="F261" s="330"/>
      <c r="G261" s="330"/>
      <c r="H261" s="421"/>
      <c r="I261" s="421"/>
      <c r="J261" s="421"/>
      <c r="K261" s="421"/>
      <c r="L261" s="421"/>
      <c r="M261" s="421"/>
      <c r="N261" s="421"/>
      <c r="O261" s="421"/>
      <c r="P261" s="421"/>
      <c r="Q261" s="421"/>
    </row>
    <row r="262" spans="1:17">
      <c r="A262" s="421"/>
      <c r="B262" s="421"/>
      <c r="C262" s="421"/>
      <c r="D262" s="421"/>
      <c r="E262" s="421"/>
      <c r="F262" s="330"/>
      <c r="G262" s="330"/>
      <c r="H262" s="421"/>
      <c r="I262" s="421"/>
      <c r="J262" s="421"/>
      <c r="K262" s="421"/>
      <c r="L262" s="421"/>
      <c r="M262" s="421"/>
      <c r="N262" s="421"/>
      <c r="O262" s="421"/>
      <c r="P262" s="421"/>
      <c r="Q262" s="421"/>
    </row>
    <row r="263" spans="1:17">
      <c r="A263" s="421"/>
      <c r="B263" s="421"/>
      <c r="C263" s="421"/>
      <c r="D263" s="421"/>
      <c r="E263" s="421"/>
      <c r="F263" s="330"/>
      <c r="G263" s="330"/>
      <c r="I263" s="421"/>
      <c r="J263" s="421"/>
      <c r="K263" s="421"/>
      <c r="L263" s="421"/>
      <c r="M263" s="421"/>
      <c r="N263" s="421"/>
      <c r="O263" s="421"/>
      <c r="P263" s="421"/>
      <c r="Q263" s="421"/>
    </row>
  </sheetData>
  <mergeCells count="18">
    <mergeCell ref="F25:G25"/>
    <mergeCell ref="H25:Q25"/>
    <mergeCell ref="A4:O4"/>
    <mergeCell ref="A5:O5"/>
    <mergeCell ref="F8:I8"/>
    <mergeCell ref="A21:S21"/>
    <mergeCell ref="A22:S22"/>
    <mergeCell ref="O27:O28"/>
    <mergeCell ref="Q27:Q28"/>
    <mergeCell ref="A29:Q29"/>
    <mergeCell ref="A30:A159"/>
    <mergeCell ref="D160:F160"/>
    <mergeCell ref="A27:A28"/>
    <mergeCell ref="B27:B28"/>
    <mergeCell ref="G27:G28"/>
    <mergeCell ref="I27:I28"/>
    <mergeCell ref="K27:K28"/>
    <mergeCell ref="M27:M28"/>
  </mergeCells>
  <phoneticPr fontId="50" type="noConversion"/>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2D089-F340-4F12-866B-0D547A55133B}">
  <sheetPr>
    <tabColor rgb="FF333399"/>
  </sheetPr>
  <dimension ref="A1:P48"/>
  <sheetViews>
    <sheetView zoomScale="79" zoomScaleNormal="79" workbookViewId="0">
      <selection activeCell="K25" sqref="K25"/>
    </sheetView>
  </sheetViews>
  <sheetFormatPr defaultColWidth="8.85546875" defaultRowHeight="12.75"/>
  <cols>
    <col min="1" max="1" width="15.28515625" style="256" customWidth="1"/>
    <col min="2" max="2" width="9.140625" style="256" customWidth="1"/>
    <col min="3" max="3" width="16.7109375" style="256" customWidth="1"/>
    <col min="4" max="4" width="40.85546875" style="256" customWidth="1"/>
    <col min="5" max="5" width="15.7109375" style="256" customWidth="1"/>
    <col min="6" max="6" width="18.28515625" style="333" customWidth="1"/>
    <col min="7" max="7" width="23.140625" style="333" customWidth="1"/>
    <col min="8" max="8" width="22.42578125" style="256" customWidth="1"/>
    <col min="9" max="9" width="20.85546875" style="256" customWidth="1"/>
    <col min="10" max="10" width="23" style="256" customWidth="1"/>
    <col min="11" max="11" width="20.42578125" style="256" customWidth="1"/>
    <col min="12" max="12" width="23.28515625" style="256" customWidth="1"/>
    <col min="13" max="13" width="20.85546875" style="256" customWidth="1"/>
    <col min="14" max="14" width="23.5703125" style="256" customWidth="1"/>
    <col min="15" max="15" width="20.85546875" style="256" customWidth="1"/>
    <col min="16" max="16384" width="8.85546875" style="256"/>
  </cols>
  <sheetData>
    <row r="1" spans="1:15" ht="13.5" thickBot="1">
      <c r="B1" s="257"/>
      <c r="C1" s="257"/>
      <c r="D1" s="258"/>
      <c r="E1" s="258"/>
      <c r="F1" s="259"/>
      <c r="G1" s="259"/>
      <c r="H1" s="259"/>
      <c r="I1" s="259"/>
      <c r="J1" s="259"/>
      <c r="K1" s="259"/>
      <c r="L1" s="259"/>
    </row>
    <row r="2" spans="1:15" ht="9" customHeight="1">
      <c r="A2" s="260"/>
      <c r="B2" s="261"/>
      <c r="C2" s="261"/>
      <c r="D2" s="262"/>
      <c r="E2" s="262"/>
      <c r="F2" s="263"/>
      <c r="G2" s="263"/>
      <c r="H2" s="263"/>
      <c r="I2" s="264"/>
      <c r="J2" s="264"/>
      <c r="K2" s="264"/>
      <c r="L2" s="264"/>
      <c r="M2" s="260"/>
      <c r="N2" s="260"/>
      <c r="O2" s="260"/>
    </row>
    <row r="3" spans="1:15" ht="10.5" customHeight="1">
      <c r="B3" s="257"/>
      <c r="C3" s="257"/>
      <c r="D3" s="258"/>
      <c r="E3" s="258"/>
      <c r="F3" s="259"/>
      <c r="G3" s="259"/>
      <c r="H3" s="259"/>
      <c r="I3" s="265"/>
      <c r="J3" s="265"/>
      <c r="K3" s="265"/>
      <c r="L3" s="265"/>
    </row>
    <row r="4" spans="1:15" ht="27">
      <c r="A4" s="1315" t="s">
        <v>1413</v>
      </c>
      <c r="B4" s="1020"/>
      <c r="C4" s="1020"/>
      <c r="D4" s="1020"/>
      <c r="E4" s="1020"/>
      <c r="F4" s="1020"/>
      <c r="G4" s="1020"/>
      <c r="H4" s="1020"/>
      <c r="I4" s="1020"/>
      <c r="J4" s="1020"/>
      <c r="K4" s="1020"/>
      <c r="L4" s="1020"/>
      <c r="M4" s="1020"/>
      <c r="N4" s="1020"/>
      <c r="O4" s="1020"/>
    </row>
    <row r="5" spans="1:15" s="266" customFormat="1" ht="38.25" customHeight="1">
      <c r="A5" s="1316" t="s">
        <v>1414</v>
      </c>
      <c r="B5" s="1045"/>
      <c r="C5" s="1045"/>
      <c r="D5" s="1045"/>
      <c r="E5" s="1045"/>
      <c r="F5" s="1045"/>
      <c r="G5" s="1045"/>
      <c r="H5" s="1045"/>
      <c r="I5" s="1045"/>
      <c r="J5" s="1045"/>
      <c r="K5" s="1045"/>
      <c r="L5" s="1045"/>
      <c r="M5" s="1045"/>
      <c r="N5" s="1045"/>
      <c r="O5" s="1045"/>
    </row>
    <row r="6" spans="1:15" ht="9" customHeight="1" thickBot="1">
      <c r="A6" s="267"/>
      <c r="B6" s="553"/>
      <c r="C6" s="553"/>
      <c r="D6" s="554"/>
      <c r="E6" s="554"/>
      <c r="F6" s="555"/>
      <c r="G6" s="555"/>
      <c r="H6" s="555"/>
      <c r="I6" s="506"/>
      <c r="J6" s="506"/>
      <c r="K6" s="506"/>
      <c r="L6" s="506"/>
      <c r="M6" s="267"/>
      <c r="N6" s="267"/>
      <c r="O6" s="267"/>
    </row>
    <row r="9" spans="1:15" s="265" customFormat="1" ht="14.25">
      <c r="B9" s="268"/>
      <c r="C9" s="268"/>
      <c r="D9" s="269"/>
      <c r="E9" s="269"/>
      <c r="F9" s="269"/>
      <c r="G9" s="269"/>
      <c r="H9" s="269"/>
      <c r="I9" s="269"/>
      <c r="J9" s="269"/>
      <c r="K9" s="269"/>
      <c r="L9" s="269"/>
    </row>
    <row r="10" spans="1:15" s="265" customFormat="1" ht="14.25">
      <c r="F10" s="1262"/>
      <c r="G10" s="1262"/>
      <c r="H10" s="1262"/>
      <c r="I10" s="1262"/>
    </row>
    <row r="11" spans="1:15" s="265" customFormat="1" ht="14.25">
      <c r="G11" s="275"/>
    </row>
    <row r="12" spans="1:15" s="265" customFormat="1" ht="15.75" customHeight="1">
      <c r="D12" s="277"/>
      <c r="E12" s="277"/>
      <c r="F12" s="283"/>
      <c r="G12" s="270"/>
    </row>
    <row r="13" spans="1:15" s="265" customFormat="1" ht="12.75" customHeight="1">
      <c r="D13" s="277"/>
      <c r="E13" s="277"/>
      <c r="F13" s="283"/>
      <c r="G13" s="270"/>
    </row>
    <row r="14" spans="1:15" s="265" customFormat="1" ht="12.75" customHeight="1">
      <c r="D14" s="277"/>
      <c r="E14" s="277"/>
      <c r="F14" s="283"/>
      <c r="G14" s="270"/>
    </row>
    <row r="15" spans="1:15" s="265" customFormat="1" ht="12.75" customHeight="1" thickBot="1">
      <c r="D15" s="277"/>
      <c r="E15" s="277"/>
      <c r="F15" s="1329"/>
      <c r="G15" s="1020"/>
    </row>
    <row r="16" spans="1:15" s="265" customFormat="1" ht="14.25">
      <c r="A16" s="1330" t="s">
        <v>30</v>
      </c>
      <c r="B16" s="1010"/>
      <c r="C16" s="1010"/>
      <c r="D16" s="1010"/>
      <c r="E16" s="1010"/>
      <c r="F16" s="1010"/>
      <c r="G16" s="1010"/>
      <c r="H16" s="1010"/>
      <c r="I16" s="1010"/>
      <c r="J16" s="1010"/>
      <c r="K16" s="1010"/>
      <c r="L16" s="1010"/>
      <c r="M16" s="1010"/>
      <c r="N16" s="1010"/>
      <c r="O16" s="1109"/>
    </row>
    <row r="17" spans="1:16" s="265" customFormat="1" ht="14.25">
      <c r="A17" s="1037" t="s">
        <v>1415</v>
      </c>
      <c r="B17" s="1038"/>
      <c r="C17" s="1038"/>
      <c r="D17" s="1038"/>
      <c r="E17" s="1038"/>
      <c r="F17" s="1038"/>
      <c r="G17" s="1038"/>
      <c r="H17" s="1038"/>
      <c r="I17" s="1038"/>
      <c r="J17" s="1038"/>
      <c r="K17" s="1038"/>
      <c r="L17" s="1038"/>
      <c r="M17" s="1038"/>
      <c r="N17" s="1038"/>
      <c r="O17" s="1039"/>
    </row>
    <row r="18" spans="1:16" s="265" customFormat="1" ht="12.75" customHeight="1">
      <c r="A18" s="1028" t="s">
        <v>33</v>
      </c>
      <c r="B18" s="1029"/>
      <c r="C18" s="1029"/>
      <c r="D18" s="1029"/>
      <c r="E18" s="1029"/>
      <c r="F18" s="1029"/>
      <c r="G18" s="1029"/>
      <c r="H18" s="1029"/>
      <c r="I18" s="1093" t="s">
        <v>34</v>
      </c>
      <c r="J18" s="1093"/>
      <c r="K18" s="1093"/>
      <c r="L18" s="1093"/>
      <c r="M18" s="1093"/>
      <c r="N18" s="1093"/>
      <c r="O18" s="1117"/>
    </row>
    <row r="19" spans="1:16" s="265" customFormat="1" ht="12.75" customHeight="1" thickBot="1">
      <c r="A19" s="1031" t="s">
        <v>36</v>
      </c>
      <c r="B19" s="1032"/>
      <c r="C19" s="1032"/>
      <c r="D19" s="1032"/>
      <c r="E19" s="1032"/>
      <c r="F19" s="1032"/>
      <c r="G19" s="1032"/>
      <c r="H19" s="1032"/>
      <c r="I19" s="1331">
        <v>0</v>
      </c>
      <c r="J19" s="1331"/>
      <c r="K19" s="1331"/>
      <c r="L19" s="1331"/>
      <c r="M19" s="1331"/>
      <c r="N19" s="1331"/>
      <c r="O19" s="1332"/>
    </row>
    <row r="20" spans="1:16" s="265" customFormat="1" ht="12.75" customHeight="1">
      <c r="B20" s="577"/>
      <c r="C20" s="577"/>
      <c r="D20" s="277"/>
      <c r="E20" s="277"/>
      <c r="F20" s="277"/>
      <c r="G20" s="277"/>
      <c r="H20" s="277"/>
      <c r="I20" s="277"/>
      <c r="J20" s="283"/>
      <c r="K20" s="283"/>
      <c r="L20" s="893"/>
      <c r="M20" s="447"/>
      <c r="N20" s="447"/>
    </row>
    <row r="21" spans="1:16" s="265" customFormat="1" ht="12.75" customHeight="1">
      <c r="D21" s="277"/>
      <c r="E21" s="277"/>
      <c r="F21" s="329"/>
      <c r="G21" s="256"/>
      <c r="H21" s="256"/>
      <c r="I21" s="256"/>
      <c r="J21" s="256"/>
      <c r="K21" s="836"/>
      <c r="L21" s="836"/>
      <c r="M21" s="270"/>
    </row>
    <row r="22" spans="1:16" s="265" customFormat="1" ht="12.75" customHeight="1">
      <c r="D22" s="277"/>
      <c r="E22" s="277"/>
      <c r="F22" s="329"/>
      <c r="G22" s="256"/>
      <c r="H22" s="256"/>
      <c r="I22" s="256"/>
      <c r="J22" s="256"/>
      <c r="K22" s="558"/>
      <c r="L22" s="558"/>
      <c r="M22" s="270"/>
    </row>
    <row r="23" spans="1:16" s="265" customFormat="1" ht="18" customHeight="1" thickBot="1">
      <c r="C23" s="277"/>
      <c r="D23" s="283"/>
      <c r="E23" s="284"/>
      <c r="F23" s="256"/>
      <c r="G23" s="1224"/>
      <c r="H23" s="1088"/>
      <c r="I23" s="287"/>
      <c r="J23" s="288"/>
    </row>
    <row r="24" spans="1:16" s="265" customFormat="1" ht="15.75" customHeight="1" thickBot="1">
      <c r="F24" s="1063" t="s">
        <v>43</v>
      </c>
      <c r="G24" s="1022"/>
      <c r="H24" s="1023" t="s">
        <v>44</v>
      </c>
      <c r="I24" s="1024"/>
      <c r="J24" s="1024"/>
      <c r="K24" s="1003"/>
      <c r="L24" s="1003"/>
      <c r="M24" s="1003"/>
      <c r="N24" s="1003"/>
      <c r="O24" s="1025"/>
    </row>
    <row r="25" spans="1:16" s="291" customFormat="1" ht="54" customHeight="1" thickBot="1">
      <c r="A25" s="289" t="s">
        <v>45</v>
      </c>
      <c r="B25" s="289" t="s">
        <v>46</v>
      </c>
      <c r="C25" s="290" t="s">
        <v>47</v>
      </c>
      <c r="D25" s="290" t="s">
        <v>48</v>
      </c>
      <c r="E25" s="290" t="s">
        <v>49</v>
      </c>
      <c r="F25" s="290" t="s">
        <v>50</v>
      </c>
      <c r="G25" s="289" t="s">
        <v>51</v>
      </c>
      <c r="H25" s="894" t="s">
        <v>52</v>
      </c>
      <c r="I25" s="895" t="s">
        <v>51</v>
      </c>
      <c r="J25" s="894" t="s">
        <v>53</v>
      </c>
      <c r="K25" s="895" t="s">
        <v>51</v>
      </c>
      <c r="L25" s="894" t="s">
        <v>54</v>
      </c>
      <c r="M25" s="895" t="s">
        <v>51</v>
      </c>
      <c r="N25" s="894" t="s">
        <v>55</v>
      </c>
      <c r="O25" s="895" t="s">
        <v>51</v>
      </c>
    </row>
    <row r="26" spans="1:16" s="557" customFormat="1" ht="30.75" customHeight="1" thickBot="1">
      <c r="A26" s="1014">
        <v>52</v>
      </c>
      <c r="B26" s="1014"/>
      <c r="C26" s="550" t="s">
        <v>1416</v>
      </c>
      <c r="D26" s="559" t="s">
        <v>1413</v>
      </c>
      <c r="E26" s="560">
        <v>1524</v>
      </c>
      <c r="F26" s="536">
        <f>SUM(E26:E27)*(1-2%)</f>
        <v>1567.02</v>
      </c>
      <c r="G26" s="1011">
        <f>F26*B26</f>
        <v>0</v>
      </c>
      <c r="H26" s="1011">
        <f>F26*0.0832</f>
        <v>130.37606399999999</v>
      </c>
      <c r="I26" s="1011">
        <f>H26*B26</f>
        <v>0</v>
      </c>
      <c r="J26" s="1011">
        <f>F26*0.0313</f>
        <v>49.047726000000004</v>
      </c>
      <c r="K26" s="1011">
        <f>J26*B26</f>
        <v>0</v>
      </c>
      <c r="L26" s="1011">
        <f>F26*0.0256</f>
        <v>40.115712000000002</v>
      </c>
      <c r="M26" s="1011">
        <f>L26*B26</f>
        <v>0</v>
      </c>
      <c r="N26" s="1011">
        <f>F26*0.0213</f>
        <v>33.377525999999996</v>
      </c>
      <c r="O26" s="1011">
        <f>N26*B26</f>
        <v>0</v>
      </c>
      <c r="P26" s="561"/>
    </row>
    <row r="27" spans="1:16" s="291" customFormat="1" ht="13.5" thickBot="1">
      <c r="A27" s="1016"/>
      <c r="B27" s="1017"/>
      <c r="C27" s="297" t="s">
        <v>56</v>
      </c>
      <c r="D27" s="562" t="s">
        <v>57</v>
      </c>
      <c r="E27" s="491">
        <v>75</v>
      </c>
      <c r="F27" s="300" t="s">
        <v>35</v>
      </c>
      <c r="G27" s="1013"/>
      <c r="H27" s="1027"/>
      <c r="I27" s="1013"/>
      <c r="J27" s="1027"/>
      <c r="K27" s="1013"/>
      <c r="L27" s="1027"/>
      <c r="M27" s="1013"/>
      <c r="N27" s="1027"/>
      <c r="O27" s="1013"/>
    </row>
    <row r="28" spans="1:16" s="519" customFormat="1" ht="13.5" customHeight="1" thickBot="1">
      <c r="A28" s="1002" t="s">
        <v>59</v>
      </c>
      <c r="B28" s="1003"/>
      <c r="C28" s="1003"/>
      <c r="D28" s="1003"/>
      <c r="E28" s="1003"/>
      <c r="F28" s="1003"/>
      <c r="G28" s="1003"/>
      <c r="H28" s="1003"/>
      <c r="I28" s="1003"/>
      <c r="J28" s="1003"/>
      <c r="K28" s="1003"/>
      <c r="L28" s="1003"/>
      <c r="M28" s="1003"/>
      <c r="N28" s="1003"/>
      <c r="O28" s="1025"/>
    </row>
    <row r="29" spans="1:16" s="291" customFormat="1" ht="26.1" customHeight="1" thickBot="1">
      <c r="A29" s="1171"/>
      <c r="B29" s="800"/>
      <c r="C29" s="297" t="s">
        <v>1417</v>
      </c>
      <c r="D29" s="570" t="s">
        <v>1418</v>
      </c>
      <c r="E29" s="896">
        <v>24.99</v>
      </c>
      <c r="F29" s="897">
        <f>E29*(1-20%)</f>
        <v>19.992000000000001</v>
      </c>
      <c r="G29" s="897">
        <f>F29*B29</f>
        <v>0</v>
      </c>
      <c r="H29" s="898">
        <f>F29*0.0832</f>
        <v>1.6633344000000001</v>
      </c>
      <c r="I29" s="898">
        <f>H29*B29</f>
        <v>0</v>
      </c>
      <c r="J29" s="898">
        <f>F29*0.0313</f>
        <v>0.62574960000000002</v>
      </c>
      <c r="K29" s="898">
        <f>J29*B29</f>
        <v>0</v>
      </c>
      <c r="L29" s="898">
        <f>F29*0.0256</f>
        <v>0.51179520000000001</v>
      </c>
      <c r="M29" s="898">
        <f>L29*B29</f>
        <v>0</v>
      </c>
      <c r="N29" s="898">
        <f>F29*0.0213</f>
        <v>0.42582960000000003</v>
      </c>
      <c r="O29" s="898">
        <f>N29*B29</f>
        <v>0</v>
      </c>
    </row>
    <row r="30" spans="1:16" s="291" customFormat="1" ht="26.1" customHeight="1" thickBot="1">
      <c r="A30" s="1006"/>
      <c r="B30" s="297"/>
      <c r="C30" s="297" t="s">
        <v>1419</v>
      </c>
      <c r="D30" s="570" t="s">
        <v>1420</v>
      </c>
      <c r="E30" s="896">
        <v>24.99</v>
      </c>
      <c r="F30" s="897">
        <f>E30*(1-20%)</f>
        <v>19.992000000000001</v>
      </c>
      <c r="G30" s="899">
        <f>F30*B30</f>
        <v>0</v>
      </c>
      <c r="H30" s="898">
        <f>F30*0.0832</f>
        <v>1.6633344000000001</v>
      </c>
      <c r="I30" s="900">
        <f>H30*B30</f>
        <v>0</v>
      </c>
      <c r="J30" s="898">
        <f>F30*0.0313</f>
        <v>0.62574960000000002</v>
      </c>
      <c r="K30" s="900">
        <f>J30*B30</f>
        <v>0</v>
      </c>
      <c r="L30" s="898">
        <f>F30*0.0256</f>
        <v>0.51179520000000001</v>
      </c>
      <c r="M30" s="898">
        <f>L30*B30</f>
        <v>0</v>
      </c>
      <c r="N30" s="898">
        <f>F30*0.0213</f>
        <v>0.42582960000000003</v>
      </c>
      <c r="O30" s="898">
        <f>N30*B30</f>
        <v>0</v>
      </c>
    </row>
    <row r="31" spans="1:16" s="291" customFormat="1" ht="57" customHeight="1" thickBot="1">
      <c r="A31" s="1006"/>
      <c r="B31" s="297"/>
      <c r="C31" s="297" t="s">
        <v>1421</v>
      </c>
      <c r="D31" s="570" t="s">
        <v>1422</v>
      </c>
      <c r="E31" s="896">
        <v>64.989999999999995</v>
      </c>
      <c r="F31" s="897">
        <f>E31*(1-20%)</f>
        <v>51.991999999999997</v>
      </c>
      <c r="G31" s="899">
        <f>F31*B31</f>
        <v>0</v>
      </c>
      <c r="H31" s="898">
        <f>F31*0.0832</f>
        <v>4.3257344</v>
      </c>
      <c r="I31" s="900">
        <f>H31*B31</f>
        <v>0</v>
      </c>
      <c r="J31" s="898">
        <f>F31*0.0313</f>
        <v>1.6273496000000001</v>
      </c>
      <c r="K31" s="900">
        <f>J31*B31</f>
        <v>0</v>
      </c>
      <c r="L31" s="898">
        <f>F31*0.0256</f>
        <v>1.3309952</v>
      </c>
      <c r="M31" s="898">
        <f>L31*B31</f>
        <v>0</v>
      </c>
      <c r="N31" s="898">
        <f>F31*0.0213</f>
        <v>1.1074295999999999</v>
      </c>
      <c r="O31" s="898">
        <f>N31*B31</f>
        <v>0</v>
      </c>
    </row>
    <row r="32" spans="1:16" s="291" customFormat="1" ht="38.1" customHeight="1" thickBot="1">
      <c r="A32" s="1006"/>
      <c r="B32" s="297"/>
      <c r="C32" s="297" t="s">
        <v>1423</v>
      </c>
      <c r="D32" s="570" t="s">
        <v>1424</v>
      </c>
      <c r="E32" s="896">
        <v>24.99</v>
      </c>
      <c r="F32" s="897">
        <f>E32*(1-20%)</f>
        <v>19.992000000000001</v>
      </c>
      <c r="G32" s="899">
        <f>F32*B32</f>
        <v>0</v>
      </c>
      <c r="H32" s="898">
        <f>F32*0.0832</f>
        <v>1.6633344000000001</v>
      </c>
      <c r="I32" s="900">
        <f>H32*B32</f>
        <v>0</v>
      </c>
      <c r="J32" s="898">
        <f>F32*0.0313</f>
        <v>0.62574960000000002</v>
      </c>
      <c r="K32" s="900">
        <f>J32*B32</f>
        <v>0</v>
      </c>
      <c r="L32" s="898">
        <f>F32*0.0256</f>
        <v>0.51179520000000001</v>
      </c>
      <c r="M32" s="898">
        <f>L32*B32</f>
        <v>0</v>
      </c>
      <c r="N32" s="898">
        <f>F32*0.0213</f>
        <v>0.42582960000000003</v>
      </c>
      <c r="O32" s="898">
        <f>N32*B32</f>
        <v>0</v>
      </c>
    </row>
    <row r="33" spans="1:15" s="291" customFormat="1" ht="26.1" customHeight="1" thickBot="1">
      <c r="A33" s="1007"/>
      <c r="B33" s="297"/>
      <c r="C33" s="297" t="s">
        <v>1425</v>
      </c>
      <c r="D33" s="570" t="s">
        <v>1426</v>
      </c>
      <c r="E33" s="896">
        <v>24.99</v>
      </c>
      <c r="F33" s="897">
        <f>E33*(1-20%)</f>
        <v>19.992000000000001</v>
      </c>
      <c r="G33" s="899">
        <f>F33*B33</f>
        <v>0</v>
      </c>
      <c r="H33" s="898">
        <f>F33*0.0832</f>
        <v>1.6633344000000001</v>
      </c>
      <c r="I33" s="900">
        <f>H33*B33</f>
        <v>0</v>
      </c>
      <c r="J33" s="898">
        <f>F33*0.0313</f>
        <v>0.62574960000000002</v>
      </c>
      <c r="K33" s="900">
        <f>J33*B33</f>
        <v>0</v>
      </c>
      <c r="L33" s="898">
        <f>F33*0.0256</f>
        <v>0.51179520000000001</v>
      </c>
      <c r="M33" s="898">
        <f>L33*B33</f>
        <v>0</v>
      </c>
      <c r="N33" s="898">
        <f>F33*0.0213</f>
        <v>0.42582960000000003</v>
      </c>
      <c r="O33" s="898">
        <f>N33*B33</f>
        <v>0</v>
      </c>
    </row>
    <row r="34" spans="1:15" s="315" customFormat="1" ht="15">
      <c r="B34" s="572"/>
      <c r="C34" s="572"/>
      <c r="D34" s="1008" t="s">
        <v>65</v>
      </c>
      <c r="E34" s="1088"/>
      <c r="F34" s="1010"/>
      <c r="G34" s="901">
        <f>SUM(G29:G33)+G26</f>
        <v>0</v>
      </c>
      <c r="H34" s="329" t="s">
        <v>66</v>
      </c>
      <c r="I34" s="901">
        <f>SUM(I29:I33)+I26</f>
        <v>0</v>
      </c>
      <c r="J34" s="329" t="s">
        <v>67</v>
      </c>
      <c r="K34" s="901">
        <f>SUM(K29:K33)+K26</f>
        <v>0</v>
      </c>
      <c r="L34" s="329" t="s">
        <v>68</v>
      </c>
      <c r="M34" s="901">
        <f>SUM(M29:M33)+M26</f>
        <v>0</v>
      </c>
      <c r="N34" s="329" t="s">
        <v>69</v>
      </c>
      <c r="O34" s="901">
        <f>SUM(O29:O33)+O26</f>
        <v>0</v>
      </c>
    </row>
    <row r="39" spans="1:15" ht="15.75">
      <c r="C39" s="269"/>
      <c r="D39" s="283"/>
      <c r="E39" s="832"/>
      <c r="F39" s="832"/>
      <c r="L39" s="256">
        <f>F39*0.0256</f>
        <v>0</v>
      </c>
    </row>
    <row r="40" spans="1:15" ht="15.75">
      <c r="C40" s="269"/>
      <c r="D40" s="283"/>
      <c r="E40" s="832"/>
      <c r="F40" s="832"/>
    </row>
    <row r="41" spans="1:15" ht="15.75">
      <c r="C41" s="269"/>
      <c r="D41" s="283"/>
      <c r="E41" s="832"/>
      <c r="F41" s="832"/>
    </row>
    <row r="42" spans="1:15" ht="15.75">
      <c r="C42" s="269"/>
      <c r="D42" s="283"/>
      <c r="E42" s="832"/>
      <c r="F42" s="832"/>
    </row>
    <row r="43" spans="1:15" ht="15.75">
      <c r="C43" s="269"/>
      <c r="D43" s="283"/>
      <c r="E43" s="832"/>
      <c r="F43" s="832"/>
    </row>
    <row r="44" spans="1:15" ht="15.75">
      <c r="C44" s="269"/>
      <c r="D44" s="283"/>
      <c r="E44" s="832"/>
      <c r="F44" s="832"/>
    </row>
    <row r="48" spans="1:15">
      <c r="B48" s="258"/>
      <c r="C48" s="258"/>
    </row>
  </sheetData>
  <mergeCells count="27">
    <mergeCell ref="F24:G24"/>
    <mergeCell ref="H24:O24"/>
    <mergeCell ref="A4:O4"/>
    <mergeCell ref="A5:O5"/>
    <mergeCell ref="F10:I10"/>
    <mergeCell ref="F15:G15"/>
    <mergeCell ref="A16:O16"/>
    <mergeCell ref="A17:O17"/>
    <mergeCell ref="A18:H18"/>
    <mergeCell ref="I18:O18"/>
    <mergeCell ref="A19:H19"/>
    <mergeCell ref="I19:O19"/>
    <mergeCell ref="G23:H23"/>
    <mergeCell ref="N26:N27"/>
    <mergeCell ref="O26:O27"/>
    <mergeCell ref="A28:O28"/>
    <mergeCell ref="A26:A27"/>
    <mergeCell ref="B26:B27"/>
    <mergeCell ref="G26:G27"/>
    <mergeCell ref="H26:H27"/>
    <mergeCell ref="I26:I27"/>
    <mergeCell ref="J26:J27"/>
    <mergeCell ref="A29:A33"/>
    <mergeCell ref="D34:F34"/>
    <mergeCell ref="K26:K27"/>
    <mergeCell ref="L26:L27"/>
    <mergeCell ref="M26:M2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69BF-2848-4607-8770-35FD527A0550}">
  <sheetPr>
    <tabColor rgb="FFFF0000"/>
  </sheetPr>
  <dimension ref="A1:Q63"/>
  <sheetViews>
    <sheetView zoomScale="79" zoomScaleNormal="79" workbookViewId="0">
      <selection activeCell="A25" sqref="A25:O25"/>
    </sheetView>
  </sheetViews>
  <sheetFormatPr defaultColWidth="8.85546875" defaultRowHeight="12.75"/>
  <cols>
    <col min="1" max="1" width="15.28515625" style="256" customWidth="1"/>
    <col min="2" max="2" width="9.140625" style="256" customWidth="1"/>
    <col min="3" max="3" width="14" style="256" customWidth="1"/>
    <col min="4" max="4" width="33.140625" style="256" customWidth="1"/>
    <col min="5" max="5" width="15.7109375" style="256" customWidth="1"/>
    <col min="6" max="6" width="18.28515625" style="333" customWidth="1"/>
    <col min="7" max="7" width="23.140625" style="333" customWidth="1"/>
    <col min="8" max="8" width="22.42578125" style="256" customWidth="1"/>
    <col min="9" max="9" width="20.85546875" style="256" customWidth="1"/>
    <col min="10" max="10" width="23" style="256" customWidth="1"/>
    <col min="11" max="11" width="20.42578125" style="256" customWidth="1"/>
    <col min="12" max="12" width="23.28515625" style="256" customWidth="1"/>
    <col min="13" max="13" width="20.85546875" style="256" customWidth="1"/>
    <col min="14" max="14" width="23.5703125" style="256" customWidth="1"/>
    <col min="15" max="15" width="20.85546875" style="256" customWidth="1"/>
    <col min="16" max="16384" width="8.85546875" style="256"/>
  </cols>
  <sheetData>
    <row r="1" spans="1:17" ht="13.5" thickBot="1">
      <c r="B1" s="257"/>
      <c r="C1" s="257"/>
      <c r="D1" s="258"/>
      <c r="E1" s="258"/>
      <c r="F1" s="259"/>
      <c r="G1" s="259"/>
      <c r="H1" s="259"/>
      <c r="I1" s="259"/>
      <c r="J1" s="259"/>
      <c r="K1" s="259"/>
      <c r="L1" s="259"/>
    </row>
    <row r="2" spans="1:17" ht="9" customHeight="1">
      <c r="A2" s="260"/>
      <c r="B2" s="261"/>
      <c r="C2" s="261"/>
      <c r="D2" s="262"/>
      <c r="E2" s="262"/>
      <c r="F2" s="263"/>
      <c r="G2" s="263"/>
      <c r="H2" s="263"/>
      <c r="I2" s="264"/>
      <c r="J2" s="264"/>
      <c r="K2" s="264"/>
      <c r="L2" s="264"/>
      <c r="M2" s="260"/>
      <c r="N2" s="260"/>
      <c r="O2" s="260"/>
    </row>
    <row r="3" spans="1:17" ht="10.5" customHeight="1">
      <c r="B3" s="257"/>
      <c r="C3" s="257"/>
      <c r="D3" s="258"/>
      <c r="E3" s="258"/>
      <c r="F3" s="259"/>
      <c r="G3" s="259"/>
      <c r="H3" s="259"/>
      <c r="I3" s="265"/>
      <c r="J3" s="265"/>
      <c r="K3" s="265"/>
      <c r="L3" s="265"/>
    </row>
    <row r="4" spans="1:17" ht="30">
      <c r="A4" s="1043" t="s">
        <v>1427</v>
      </c>
      <c r="B4" s="1020"/>
      <c r="C4" s="1020"/>
      <c r="D4" s="1020"/>
      <c r="E4" s="1020"/>
      <c r="F4" s="1020"/>
      <c r="G4" s="1020"/>
      <c r="H4" s="1020"/>
      <c r="I4" s="1020"/>
      <c r="J4" s="1020"/>
      <c r="K4" s="1020"/>
      <c r="L4" s="1020"/>
      <c r="M4" s="1020"/>
      <c r="N4" s="1020"/>
      <c r="O4" s="1020"/>
    </row>
    <row r="5" spans="1:17" s="266" customFormat="1" ht="38.25" customHeight="1">
      <c r="A5" s="1044" t="s">
        <v>1428</v>
      </c>
      <c r="B5" s="1045"/>
      <c r="C5" s="1045"/>
      <c r="D5" s="1045"/>
      <c r="E5" s="1045"/>
      <c r="F5" s="1045"/>
      <c r="G5" s="1045"/>
      <c r="H5" s="1045"/>
      <c r="I5" s="1045"/>
      <c r="J5" s="1045"/>
      <c r="K5" s="1045"/>
      <c r="L5" s="1045"/>
      <c r="M5" s="1045"/>
      <c r="N5" s="1045"/>
      <c r="O5" s="1045"/>
    </row>
    <row r="6" spans="1:17" ht="9" customHeight="1" thickBot="1">
      <c r="A6" s="267"/>
      <c r="B6" s="553"/>
      <c r="C6" s="553"/>
      <c r="D6" s="554"/>
      <c r="E6" s="554"/>
      <c r="F6" s="555"/>
      <c r="G6" s="555"/>
      <c r="H6" s="555"/>
      <c r="I6" s="506"/>
      <c r="J6" s="506"/>
      <c r="K6" s="506"/>
      <c r="L6" s="506"/>
      <c r="M6" s="267"/>
      <c r="N6" s="267"/>
      <c r="O6" s="267"/>
    </row>
    <row r="9" spans="1:17" s="265" customFormat="1" ht="14.25">
      <c r="B9" s="268"/>
      <c r="C9" s="268"/>
      <c r="D9" s="269"/>
      <c r="E9" s="269"/>
      <c r="F9" s="269"/>
      <c r="G9" s="269"/>
      <c r="H9" s="269"/>
      <c r="I9" s="269"/>
      <c r="J9" s="269"/>
      <c r="K9" s="269"/>
      <c r="L9" s="269"/>
    </row>
    <row r="10" spans="1:17" s="265" customFormat="1" ht="14.25">
      <c r="F10" s="1046" t="s">
        <v>0</v>
      </c>
      <c r="G10" s="1046"/>
      <c r="H10" s="1046"/>
      <c r="I10" s="1046"/>
    </row>
    <row r="11" spans="1:17" s="265" customFormat="1" ht="14.25">
      <c r="G11" s="275" t="s">
        <v>1</v>
      </c>
      <c r="H11" s="265" t="s">
        <v>1429</v>
      </c>
    </row>
    <row r="12" spans="1:17" s="265" customFormat="1" ht="14.25">
      <c r="F12" s="902"/>
      <c r="G12" s="276" t="s">
        <v>5</v>
      </c>
      <c r="H12" s="548" t="s">
        <v>6</v>
      </c>
      <c r="I12" s="548"/>
      <c r="K12" s="548"/>
      <c r="L12" s="799"/>
      <c r="M12" s="256"/>
      <c r="N12" s="256"/>
      <c r="O12" s="256"/>
      <c r="P12" s="256"/>
      <c r="Q12" s="256"/>
    </row>
    <row r="13" spans="1:17" s="265" customFormat="1">
      <c r="F13" s="902"/>
      <c r="G13" s="270" t="s">
        <v>7</v>
      </c>
      <c r="H13" s="556">
        <v>80000</v>
      </c>
      <c r="I13" s="556"/>
      <c r="K13" s="556"/>
      <c r="L13" s="547"/>
      <c r="M13" s="256"/>
      <c r="N13" s="256"/>
      <c r="O13" s="256"/>
      <c r="Q13" s="256"/>
    </row>
    <row r="14" spans="1:17" s="265" customFormat="1">
      <c r="F14" s="902"/>
      <c r="G14" s="270" t="s">
        <v>8</v>
      </c>
      <c r="H14" s="265" t="s">
        <v>159</v>
      </c>
      <c r="L14" s="547"/>
      <c r="M14" s="256"/>
      <c r="N14" s="256"/>
      <c r="O14" s="256"/>
      <c r="P14" s="273"/>
      <c r="Q14" s="256"/>
    </row>
    <row r="15" spans="1:17" s="265" customFormat="1" ht="14.25">
      <c r="A15" s="799"/>
      <c r="B15" s="256"/>
      <c r="C15" s="256"/>
      <c r="D15" s="256"/>
      <c r="E15" s="256"/>
      <c r="F15" s="256"/>
      <c r="G15" s="270" t="s">
        <v>10</v>
      </c>
      <c r="H15" s="265" t="s">
        <v>85</v>
      </c>
      <c r="L15" s="547"/>
      <c r="M15" s="256"/>
      <c r="N15" s="256"/>
      <c r="O15" s="256"/>
    </row>
    <row r="16" spans="1:17" s="265" customFormat="1">
      <c r="A16" s="547"/>
      <c r="B16" s="256"/>
      <c r="C16" s="256"/>
      <c r="E16" s="256"/>
      <c r="F16" s="256"/>
      <c r="G16" s="270" t="s">
        <v>185</v>
      </c>
      <c r="H16" s="265" t="s">
        <v>1430</v>
      </c>
      <c r="L16" s="547"/>
      <c r="M16" s="256"/>
      <c r="N16" s="256"/>
      <c r="O16" s="256"/>
    </row>
    <row r="17" spans="1:16" s="265" customFormat="1">
      <c r="A17" s="547"/>
      <c r="B17" s="256"/>
      <c r="C17" s="256"/>
      <c r="D17" s="903"/>
      <c r="E17" s="904"/>
      <c r="F17" s="904"/>
      <c r="G17" s="270" t="s">
        <v>14</v>
      </c>
      <c r="H17" s="265" t="s">
        <v>15</v>
      </c>
    </row>
    <row r="18" spans="1:16" s="265" customFormat="1">
      <c r="F18" s="902"/>
      <c r="G18" s="270" t="s">
        <v>16</v>
      </c>
      <c r="H18" s="265" t="s">
        <v>1431</v>
      </c>
    </row>
    <row r="19" spans="1:16" s="265" customFormat="1">
      <c r="F19" s="902"/>
      <c r="G19" s="270" t="s">
        <v>18</v>
      </c>
      <c r="H19" s="265" t="s">
        <v>19</v>
      </c>
    </row>
    <row r="20" spans="1:16" s="265" customFormat="1" ht="14.25">
      <c r="C20" s="905"/>
      <c r="F20" s="283"/>
      <c r="G20" s="270" t="s">
        <v>22</v>
      </c>
      <c r="H20" s="265" t="s">
        <v>1432</v>
      </c>
      <c r="K20" s="282"/>
    </row>
    <row r="21" spans="1:16" s="265" customFormat="1" ht="15.75" customHeight="1">
      <c r="D21" s="277"/>
      <c r="E21" s="277"/>
      <c r="F21" s="283"/>
      <c r="G21" s="270" t="s">
        <v>24</v>
      </c>
      <c r="H21" s="265" t="s">
        <v>1433</v>
      </c>
    </row>
    <row r="22" spans="1:16" s="265" customFormat="1" ht="12.75" customHeight="1">
      <c r="D22" s="277"/>
      <c r="E22" s="277"/>
      <c r="F22" s="283"/>
      <c r="G22" s="270" t="s">
        <v>26</v>
      </c>
      <c r="H22" s="265" t="s">
        <v>1434</v>
      </c>
    </row>
    <row r="23" spans="1:16" s="265" customFormat="1" ht="12.75" customHeight="1">
      <c r="D23" s="277"/>
      <c r="E23" s="277"/>
      <c r="F23" s="283"/>
      <c r="G23" s="270" t="s">
        <v>28</v>
      </c>
      <c r="H23" s="265" t="s">
        <v>1435</v>
      </c>
    </row>
    <row r="24" spans="1:16" s="265" customFormat="1" ht="12.75" customHeight="1" thickBot="1">
      <c r="D24" s="277"/>
      <c r="E24" s="277"/>
      <c r="F24" s="1329"/>
      <c r="G24" s="1020"/>
    </row>
    <row r="25" spans="1:16" s="265" customFormat="1" ht="15" thickBot="1">
      <c r="A25" s="1340" t="s">
        <v>30</v>
      </c>
      <c r="B25" s="1003"/>
      <c r="C25" s="1003"/>
      <c r="D25" s="1003"/>
      <c r="E25" s="1003"/>
      <c r="F25" s="1003"/>
      <c r="G25" s="1003"/>
      <c r="H25" s="1003"/>
      <c r="I25" s="1003"/>
      <c r="J25" s="1003"/>
      <c r="K25" s="1003"/>
      <c r="L25" s="1003"/>
      <c r="M25" s="1003"/>
      <c r="N25" s="1003"/>
      <c r="O25" s="1025"/>
    </row>
    <row r="26" spans="1:16" s="265" customFormat="1" ht="14.25">
      <c r="A26" s="1037" t="s">
        <v>1436</v>
      </c>
      <c r="B26" s="1020"/>
      <c r="C26" s="1020"/>
      <c r="D26" s="1020"/>
      <c r="E26" s="1020"/>
      <c r="F26" s="1020"/>
      <c r="G26" s="1020"/>
      <c r="H26" s="1030"/>
      <c r="I26" s="1040" t="s">
        <v>1437</v>
      </c>
      <c r="J26" s="1020"/>
      <c r="K26" s="1020"/>
      <c r="L26" s="1020"/>
      <c r="M26" s="1020"/>
      <c r="N26" s="1020"/>
      <c r="O26" s="1030"/>
    </row>
    <row r="27" spans="1:16" s="265" customFormat="1" ht="12.75" customHeight="1">
      <c r="A27" s="1028" t="s">
        <v>33</v>
      </c>
      <c r="B27" s="1020"/>
      <c r="C27" s="1020"/>
      <c r="D27" s="1020"/>
      <c r="E27" s="1020" t="s">
        <v>34</v>
      </c>
      <c r="F27" s="1020"/>
      <c r="G27" s="1020"/>
      <c r="H27" s="551"/>
      <c r="I27" s="1028" t="s">
        <v>33</v>
      </c>
      <c r="J27" s="1020"/>
      <c r="K27" s="1020"/>
      <c r="L27" s="1020"/>
      <c r="M27" s="1020" t="s">
        <v>35</v>
      </c>
      <c r="N27" s="1020"/>
      <c r="O27" s="1030"/>
    </row>
    <row r="28" spans="1:16" s="265" customFormat="1" ht="12.75" customHeight="1">
      <c r="A28" s="1028" t="s">
        <v>36</v>
      </c>
      <c r="B28" s="1020"/>
      <c r="C28" s="1020"/>
      <c r="D28" s="1020"/>
      <c r="E28" s="1035">
        <v>0</v>
      </c>
      <c r="F28" s="1035"/>
      <c r="G28" s="1035"/>
      <c r="H28" s="551"/>
      <c r="I28" s="1028" t="s">
        <v>36</v>
      </c>
      <c r="J28" s="1020"/>
      <c r="K28" s="1020"/>
      <c r="L28" s="1020"/>
      <c r="M28" s="1035">
        <v>65</v>
      </c>
      <c r="N28" s="1035"/>
      <c r="O28" s="1036"/>
    </row>
    <row r="29" spans="1:16" s="265" customFormat="1" ht="12.75" customHeight="1">
      <c r="A29" s="1028" t="s">
        <v>1438</v>
      </c>
      <c r="B29" s="1020"/>
      <c r="C29" s="1020"/>
      <c r="D29" s="1020"/>
      <c r="E29" s="1020" t="s">
        <v>38</v>
      </c>
      <c r="F29" s="1020"/>
      <c r="G29" s="1020"/>
      <c r="H29" s="551"/>
      <c r="I29" s="1028" t="s">
        <v>1438</v>
      </c>
      <c r="J29" s="1020"/>
      <c r="K29" s="1020"/>
      <c r="L29" s="1020"/>
      <c r="M29" s="1020" t="s">
        <v>39</v>
      </c>
      <c r="N29" s="1020"/>
      <c r="O29" s="1030"/>
    </row>
    <row r="30" spans="1:16" s="265" customFormat="1" ht="12.75" customHeight="1">
      <c r="A30" s="1028" t="s">
        <v>1439</v>
      </c>
      <c r="B30" s="1020"/>
      <c r="C30" s="1020"/>
      <c r="D30" s="1020"/>
      <c r="E30" s="1020" t="s">
        <v>165</v>
      </c>
      <c r="F30" s="1020"/>
      <c r="G30" s="1020"/>
      <c r="H30" s="551"/>
      <c r="I30" s="1028" t="s">
        <v>1439</v>
      </c>
      <c r="J30" s="1020"/>
      <c r="K30" s="1020"/>
      <c r="L30" s="1020"/>
      <c r="M30" s="1020" t="s">
        <v>284</v>
      </c>
      <c r="N30" s="1020"/>
      <c r="O30" s="1030"/>
    </row>
    <row r="31" spans="1:16" s="265" customFormat="1" ht="12.75" customHeight="1">
      <c r="A31" s="1333" t="s">
        <v>954</v>
      </c>
      <c r="B31" s="1334"/>
      <c r="C31" s="1334"/>
      <c r="D31" s="1334"/>
      <c r="E31" s="1334" t="s">
        <v>38</v>
      </c>
      <c r="F31" s="1334"/>
      <c r="G31" s="1334"/>
      <c r="H31" s="907"/>
      <c r="I31" s="1333" t="s">
        <v>1438</v>
      </c>
      <c r="J31" s="1334"/>
      <c r="K31" s="1334"/>
      <c r="L31" s="1334"/>
      <c r="M31" s="1334" t="s">
        <v>164</v>
      </c>
      <c r="N31" s="1334"/>
      <c r="O31" s="1335"/>
    </row>
    <row r="32" spans="1:16" s="265" customFormat="1" ht="12.6" customHeight="1">
      <c r="A32" s="1333" t="s">
        <v>1440</v>
      </c>
      <c r="B32" s="1334"/>
      <c r="C32" s="1334"/>
      <c r="D32" s="1334"/>
      <c r="E32" s="1334" t="s">
        <v>1441</v>
      </c>
      <c r="F32" s="1334"/>
      <c r="G32" s="1334"/>
      <c r="H32" s="1335"/>
      <c r="I32" s="1333" t="s">
        <v>1440</v>
      </c>
      <c r="J32" s="1334"/>
      <c r="K32" s="1334"/>
      <c r="L32" s="1334"/>
      <c r="M32" s="1334" t="s">
        <v>1441</v>
      </c>
      <c r="N32" s="1334"/>
      <c r="O32" s="1335"/>
      <c r="P32" s="256"/>
    </row>
    <row r="33" spans="1:16" s="265" customFormat="1" ht="12.6" customHeight="1">
      <c r="A33" s="1333" t="s">
        <v>1442</v>
      </c>
      <c r="B33" s="1334"/>
      <c r="C33" s="1334"/>
      <c r="D33" s="1334"/>
      <c r="E33" s="1334" t="s">
        <v>1443</v>
      </c>
      <c r="F33" s="1334"/>
      <c r="G33" s="1334"/>
      <c r="H33" s="1335"/>
      <c r="I33" s="1333" t="s">
        <v>1442</v>
      </c>
      <c r="J33" s="1334"/>
      <c r="K33" s="1334"/>
      <c r="L33" s="1334"/>
      <c r="M33" s="1334" t="s">
        <v>1443</v>
      </c>
      <c r="N33" s="1334"/>
      <c r="O33" s="1335"/>
      <c r="P33" s="256"/>
    </row>
    <row r="34" spans="1:16" s="265" customFormat="1" ht="12.6" customHeight="1" thickBot="1">
      <c r="A34" s="1336" t="s">
        <v>1444</v>
      </c>
      <c r="B34" s="1337"/>
      <c r="C34" s="1337"/>
      <c r="D34" s="1337"/>
      <c r="E34" s="1338" t="s">
        <v>1445</v>
      </c>
      <c r="F34" s="1338"/>
      <c r="G34" s="1338"/>
      <c r="H34" s="1339"/>
      <c r="I34" s="1336" t="s">
        <v>1444</v>
      </c>
      <c r="J34" s="1337"/>
      <c r="K34" s="1337"/>
      <c r="L34" s="1337"/>
      <c r="M34" s="1338" t="s">
        <v>1445</v>
      </c>
      <c r="N34" s="1338"/>
      <c r="O34" s="1339"/>
      <c r="P34" s="256"/>
    </row>
    <row r="35" spans="1:16" s="265" customFormat="1" ht="12.75" customHeight="1">
      <c r="B35" s="577"/>
      <c r="C35" s="577"/>
      <c r="D35" s="277"/>
      <c r="E35" s="277"/>
      <c r="F35" s="277"/>
      <c r="G35" s="277"/>
      <c r="H35" s="277"/>
      <c r="I35" s="277"/>
      <c r="J35" s="283"/>
      <c r="K35" s="283"/>
      <c r="L35" s="893"/>
      <c r="M35" s="447"/>
      <c r="N35" s="447"/>
    </row>
    <row r="36" spans="1:16" s="265" customFormat="1" ht="12.75" customHeight="1">
      <c r="D36" s="277"/>
      <c r="E36" s="277"/>
      <c r="F36" s="329"/>
      <c r="G36" s="256"/>
      <c r="H36" s="256"/>
      <c r="I36" s="256"/>
      <c r="J36" s="256"/>
      <c r="K36" s="836"/>
      <c r="L36" s="836"/>
      <c r="M36" s="270"/>
    </row>
    <row r="37" spans="1:16" s="265" customFormat="1" ht="12.75" customHeight="1">
      <c r="D37" s="277"/>
      <c r="E37" s="277"/>
      <c r="F37" s="329"/>
      <c r="G37" s="256"/>
      <c r="H37" s="256"/>
      <c r="I37" s="256"/>
      <c r="J37" s="256"/>
      <c r="K37" s="558"/>
      <c r="L37" s="558"/>
      <c r="M37" s="270"/>
    </row>
    <row r="38" spans="1:16" s="265" customFormat="1" ht="18" customHeight="1" thickBot="1">
      <c r="C38" s="277"/>
      <c r="D38" s="283"/>
      <c r="E38" s="284"/>
      <c r="F38" s="256"/>
      <c r="G38" s="1224"/>
      <c r="H38" s="1088"/>
      <c r="I38" s="287"/>
      <c r="J38" s="288"/>
    </row>
    <row r="39" spans="1:16" s="265" customFormat="1" ht="15.75" customHeight="1" thickBot="1">
      <c r="F39" s="1063" t="s">
        <v>43</v>
      </c>
      <c r="G39" s="1022"/>
      <c r="H39" s="1023" t="s">
        <v>44</v>
      </c>
      <c r="I39" s="1024"/>
      <c r="J39" s="1024"/>
      <c r="K39" s="1003"/>
      <c r="L39" s="1003"/>
      <c r="M39" s="1003"/>
      <c r="N39" s="1003"/>
      <c r="O39" s="1025"/>
    </row>
    <row r="40" spans="1:16" s="291" customFormat="1" ht="54" customHeight="1" thickBot="1">
      <c r="A40" s="289" t="s">
        <v>45</v>
      </c>
      <c r="B40" s="289" t="s">
        <v>46</v>
      </c>
      <c r="C40" s="290" t="s">
        <v>47</v>
      </c>
      <c r="D40" s="290" t="s">
        <v>48</v>
      </c>
      <c r="E40" s="290" t="s">
        <v>49</v>
      </c>
      <c r="F40" s="290" t="s">
        <v>50</v>
      </c>
      <c r="G40" s="289" t="s">
        <v>51</v>
      </c>
      <c r="H40" s="894" t="s">
        <v>52</v>
      </c>
      <c r="I40" s="895" t="s">
        <v>51</v>
      </c>
      <c r="J40" s="894" t="s">
        <v>53</v>
      </c>
      <c r="K40" s="895" t="s">
        <v>51</v>
      </c>
      <c r="L40" s="894" t="s">
        <v>54</v>
      </c>
      <c r="M40" s="895" t="s">
        <v>51</v>
      </c>
      <c r="N40" s="894" t="s">
        <v>55</v>
      </c>
      <c r="O40" s="895" t="s">
        <v>51</v>
      </c>
    </row>
    <row r="41" spans="1:16" s="557" customFormat="1" ht="30.75" customHeight="1" thickBot="1">
      <c r="A41" s="1014">
        <v>54</v>
      </c>
      <c r="B41" s="1014"/>
      <c r="C41" s="550" t="s">
        <v>1446</v>
      </c>
      <c r="D41" s="559" t="s">
        <v>1447</v>
      </c>
      <c r="E41" s="560">
        <v>2746.71</v>
      </c>
      <c r="F41" s="536">
        <f>SUM(E41:E42)*(1-60%)</f>
        <v>1128.684</v>
      </c>
      <c r="G41" s="1011">
        <f>F41*B41</f>
        <v>0</v>
      </c>
      <c r="H41" s="1011">
        <f>F41*0.0832</f>
        <v>93.906508799999997</v>
      </c>
      <c r="I41" s="1011">
        <f>H41*B41</f>
        <v>0</v>
      </c>
      <c r="J41" s="1011">
        <f>F41*0.0313</f>
        <v>35.327809199999997</v>
      </c>
      <c r="K41" s="1011">
        <f>J41*B41</f>
        <v>0</v>
      </c>
      <c r="L41" s="1011">
        <f>F41*0.0256</f>
        <v>28.894310400000002</v>
      </c>
      <c r="M41" s="1011">
        <f>L41*B41</f>
        <v>0</v>
      </c>
      <c r="N41" s="1011">
        <f>F41*0.0213</f>
        <v>24.040969199999999</v>
      </c>
      <c r="O41" s="1011">
        <f>N41*B41</f>
        <v>0</v>
      </c>
      <c r="P41" s="561"/>
    </row>
    <row r="42" spans="1:16" s="291" customFormat="1" ht="13.5" thickBot="1">
      <c r="A42" s="1016"/>
      <c r="B42" s="1017"/>
      <c r="C42" s="297" t="s">
        <v>56</v>
      </c>
      <c r="D42" s="562" t="s">
        <v>57</v>
      </c>
      <c r="E42" s="491">
        <v>75</v>
      </c>
      <c r="F42" s="300" t="s">
        <v>35</v>
      </c>
      <c r="G42" s="1013"/>
      <c r="H42" s="1027"/>
      <c r="I42" s="1013"/>
      <c r="J42" s="1027"/>
      <c r="K42" s="1013"/>
      <c r="L42" s="1027"/>
      <c r="M42" s="1013"/>
      <c r="N42" s="1027"/>
      <c r="O42" s="1013"/>
    </row>
    <row r="43" spans="1:16" s="519" customFormat="1" ht="13.5" thickBot="1">
      <c r="A43" s="563"/>
      <c r="B43" s="308"/>
      <c r="C43" s="545"/>
      <c r="D43" s="537"/>
      <c r="E43" s="564"/>
      <c r="F43" s="312"/>
      <c r="G43" s="308"/>
      <c r="H43" s="314"/>
      <c r="I43" s="308"/>
      <c r="J43" s="314"/>
      <c r="K43" s="313"/>
      <c r="L43" s="314"/>
      <c r="M43" s="308"/>
      <c r="N43" s="314"/>
      <c r="O43" s="313"/>
    </row>
    <row r="44" spans="1:16" s="557" customFormat="1" ht="30.75" customHeight="1" thickBot="1">
      <c r="A44" s="1014" t="s">
        <v>1448</v>
      </c>
      <c r="B44" s="1014"/>
      <c r="C44" s="550" t="s">
        <v>1446</v>
      </c>
      <c r="D44" s="559" t="s">
        <v>1447</v>
      </c>
      <c r="E44" s="560">
        <v>2746.71</v>
      </c>
      <c r="F44" s="536">
        <f>SUM(E44:E45)*(1-60%)</f>
        <v>1128.684</v>
      </c>
      <c r="G44" s="1011">
        <f>F44*B44</f>
        <v>0</v>
      </c>
      <c r="H44" s="1011">
        <f>F44*0.0832+M28/12</f>
        <v>99.323175466666669</v>
      </c>
      <c r="I44" s="1011">
        <f>H44*B44</f>
        <v>0</v>
      </c>
      <c r="J44" s="1011">
        <f>F44*0.0313+M28/12</f>
        <v>40.744475866666662</v>
      </c>
      <c r="K44" s="1011">
        <f>J44*B44</f>
        <v>0</v>
      </c>
      <c r="L44" s="1011">
        <f>F44*0.0256+M28/12</f>
        <v>34.310977066666666</v>
      </c>
      <c r="M44" s="1011">
        <f>L44*B44</f>
        <v>0</v>
      </c>
      <c r="N44" s="1011">
        <f>F44*0.0213+M28/12</f>
        <v>29.457635866666667</v>
      </c>
      <c r="O44" s="1011">
        <f>N44*B44</f>
        <v>0</v>
      </c>
      <c r="P44" s="561"/>
    </row>
    <row r="45" spans="1:16" s="291" customFormat="1" ht="13.5" thickBot="1">
      <c r="A45" s="1016"/>
      <c r="B45" s="1017"/>
      <c r="C45" s="297" t="s">
        <v>56</v>
      </c>
      <c r="D45" s="562" t="s">
        <v>57</v>
      </c>
      <c r="E45" s="491">
        <v>75</v>
      </c>
      <c r="F45" s="300" t="s">
        <v>35</v>
      </c>
      <c r="G45" s="1013"/>
      <c r="H45" s="1027"/>
      <c r="I45" s="1013"/>
      <c r="J45" s="1027"/>
      <c r="K45" s="1013"/>
      <c r="L45" s="1027"/>
      <c r="M45" s="1013"/>
      <c r="N45" s="1027"/>
      <c r="O45" s="1013"/>
    </row>
    <row r="46" spans="1:16" s="519" customFormat="1" ht="13.5" customHeight="1" thickBot="1">
      <c r="A46" s="1002" t="s">
        <v>59</v>
      </c>
      <c r="B46" s="1003"/>
      <c r="C46" s="1003"/>
      <c r="D46" s="1003"/>
      <c r="E46" s="1003"/>
      <c r="F46" s="1003"/>
      <c r="G46" s="1003"/>
      <c r="H46" s="1003"/>
      <c r="I46" s="1003"/>
      <c r="J46" s="1003"/>
      <c r="K46" s="1003"/>
      <c r="L46" s="1003"/>
      <c r="M46" s="1003"/>
      <c r="N46" s="1003"/>
      <c r="O46" s="1025"/>
    </row>
    <row r="47" spans="1:16" s="291" customFormat="1" ht="26.1" customHeight="1" thickBot="1">
      <c r="A47" s="1171"/>
      <c r="B47" s="800"/>
      <c r="C47" s="297" t="s">
        <v>1449</v>
      </c>
      <c r="D47" s="570" t="s">
        <v>1450</v>
      </c>
      <c r="E47" s="896">
        <v>296.54000000000002</v>
      </c>
      <c r="F47" s="897">
        <f>E47*(1-40%)</f>
        <v>177.92400000000001</v>
      </c>
      <c r="G47" s="897">
        <f>F47*B47</f>
        <v>0</v>
      </c>
      <c r="H47" s="898">
        <f>F47*0.0832</f>
        <v>14.803276799999999</v>
      </c>
      <c r="I47" s="898">
        <f>H47*B47</f>
        <v>0</v>
      </c>
      <c r="J47" s="898">
        <f>F47*0.0313</f>
        <v>5.5690212000000008</v>
      </c>
      <c r="K47" s="898">
        <f>J47*B47</f>
        <v>0</v>
      </c>
      <c r="L47" s="898">
        <f>F47*0.0256</f>
        <v>4.5548544</v>
      </c>
      <c r="M47" s="898">
        <f>L47*B47</f>
        <v>0</v>
      </c>
      <c r="N47" s="898">
        <f>F47*0.0213</f>
        <v>3.7897812000000002</v>
      </c>
      <c r="O47" s="898">
        <f>N47*B47</f>
        <v>0</v>
      </c>
    </row>
    <row r="48" spans="1:16" s="291" customFormat="1" ht="26.1" customHeight="1" thickBot="1">
      <c r="A48" s="1007"/>
      <c r="B48" s="297"/>
      <c r="C48" s="297" t="s">
        <v>1451</v>
      </c>
      <c r="D48" s="570" t="s">
        <v>1452</v>
      </c>
      <c r="E48" s="896">
        <v>889.64</v>
      </c>
      <c r="F48" s="897">
        <f>E48*(1-40%)</f>
        <v>533.78399999999999</v>
      </c>
      <c r="G48" s="899">
        <f>F48*B48</f>
        <v>0</v>
      </c>
      <c r="H48" s="898">
        <f>F48*0.0832</f>
        <v>44.410828799999997</v>
      </c>
      <c r="I48" s="900">
        <f>H48*B48</f>
        <v>0</v>
      </c>
      <c r="J48" s="898">
        <f>F48*0.0313</f>
        <v>16.7074392</v>
      </c>
      <c r="K48" s="900">
        <f>J48*B48</f>
        <v>0</v>
      </c>
      <c r="L48" s="898">
        <f>F48*0.0256</f>
        <v>13.6648704</v>
      </c>
      <c r="M48" s="898">
        <f>L48*B48</f>
        <v>0</v>
      </c>
      <c r="N48" s="898">
        <f>F48*0.0213</f>
        <v>11.3695992</v>
      </c>
      <c r="O48" s="898">
        <f>N48*B48</f>
        <v>0</v>
      </c>
    </row>
    <row r="49" spans="2:15" s="315" customFormat="1" ht="15">
      <c r="B49" s="572"/>
      <c r="C49" s="572"/>
      <c r="D49" s="1008" t="s">
        <v>65</v>
      </c>
      <c r="E49" s="1088"/>
      <c r="F49" s="1010"/>
      <c r="G49" s="901">
        <f t="array" ref="G49">SUM(G47:G48)+G41:G47:G48+G44</f>
        <v>0</v>
      </c>
      <c r="H49" s="329" t="s">
        <v>66</v>
      </c>
      <c r="I49" s="901">
        <f t="array" ref="I49">SUM(I47:I48)+I41:I47:I48+I44</f>
        <v>0</v>
      </c>
      <c r="J49" s="329" t="s">
        <v>67</v>
      </c>
      <c r="K49" s="901">
        <f t="array" ref="K49">SUM(K47:K48)+K41:K47:K48+K44</f>
        <v>0</v>
      </c>
      <c r="L49" s="329" t="s">
        <v>68</v>
      </c>
      <c r="M49" s="901">
        <f t="array" ref="M49">SUM(M47:M48)+M41:M47:M48+M44</f>
        <v>0</v>
      </c>
      <c r="N49" s="329" t="s">
        <v>69</v>
      </c>
      <c r="O49" s="901">
        <f t="array" ref="O49">SUM(O47:O48)+O41:O47:O48+O44</f>
        <v>0</v>
      </c>
    </row>
    <row r="54" spans="2:15" ht="15.75">
      <c r="C54" s="269"/>
      <c r="D54" s="283"/>
      <c r="E54" s="832"/>
      <c r="F54" s="832"/>
    </row>
    <row r="55" spans="2:15" ht="15.75">
      <c r="C55" s="269"/>
      <c r="D55" s="283"/>
      <c r="E55" s="832"/>
      <c r="F55" s="832"/>
    </row>
    <row r="56" spans="2:15" ht="15.75">
      <c r="C56" s="269"/>
      <c r="D56" s="283"/>
      <c r="E56" s="832"/>
      <c r="F56" s="832"/>
    </row>
    <row r="57" spans="2:15" ht="15.75">
      <c r="C57" s="269"/>
      <c r="D57" s="283"/>
      <c r="E57" s="832"/>
      <c r="F57" s="832"/>
    </row>
    <row r="58" spans="2:15" ht="15.75">
      <c r="C58" s="269"/>
      <c r="D58" s="283"/>
      <c r="E58" s="832"/>
      <c r="F58" s="832"/>
    </row>
    <row r="59" spans="2:15" ht="15.75">
      <c r="C59" s="269"/>
      <c r="D59" s="283"/>
      <c r="E59" s="832"/>
      <c r="F59" s="832"/>
    </row>
    <row r="63" spans="2:15">
      <c r="B63" s="258"/>
      <c r="C63" s="258"/>
    </row>
  </sheetData>
  <mergeCells count="67">
    <mergeCell ref="A26:H26"/>
    <mergeCell ref="I26:O26"/>
    <mergeCell ref="A4:O4"/>
    <mergeCell ref="A5:O5"/>
    <mergeCell ref="F10:I10"/>
    <mergeCell ref="F24:G24"/>
    <mergeCell ref="A25:O25"/>
    <mergeCell ref="A27:D27"/>
    <mergeCell ref="E27:G27"/>
    <mergeCell ref="I27:L27"/>
    <mergeCell ref="M27:O27"/>
    <mergeCell ref="A28:D28"/>
    <mergeCell ref="E28:G28"/>
    <mergeCell ref="I28:L28"/>
    <mergeCell ref="M28:O28"/>
    <mergeCell ref="A29:D29"/>
    <mergeCell ref="E29:G29"/>
    <mergeCell ref="I29:L29"/>
    <mergeCell ref="M29:O29"/>
    <mergeCell ref="A30:D30"/>
    <mergeCell ref="E30:G30"/>
    <mergeCell ref="I30:L30"/>
    <mergeCell ref="M30:O30"/>
    <mergeCell ref="A31:D31"/>
    <mergeCell ref="E31:G31"/>
    <mergeCell ref="I31:L31"/>
    <mergeCell ref="M31:O31"/>
    <mergeCell ref="A32:D32"/>
    <mergeCell ref="E32:H32"/>
    <mergeCell ref="I32:L32"/>
    <mergeCell ref="M32:O32"/>
    <mergeCell ref="A33:D33"/>
    <mergeCell ref="E33:H33"/>
    <mergeCell ref="I33:L33"/>
    <mergeCell ref="M33:O33"/>
    <mergeCell ref="A34:D34"/>
    <mergeCell ref="E34:H34"/>
    <mergeCell ref="I34:L34"/>
    <mergeCell ref="M34:O34"/>
    <mergeCell ref="G38:H38"/>
    <mergeCell ref="F39:G39"/>
    <mergeCell ref="H39:O39"/>
    <mergeCell ref="A41:A42"/>
    <mergeCell ref="B41:B42"/>
    <mergeCell ref="G41:G42"/>
    <mergeCell ref="H41:H42"/>
    <mergeCell ref="I41:I42"/>
    <mergeCell ref="J41:J42"/>
    <mergeCell ref="K41:K42"/>
    <mergeCell ref="N44:N45"/>
    <mergeCell ref="O44:O45"/>
    <mergeCell ref="A46:O46"/>
    <mergeCell ref="L41:L42"/>
    <mergeCell ref="M41:M42"/>
    <mergeCell ref="N41:N42"/>
    <mergeCell ref="O41:O42"/>
    <mergeCell ref="A44:A45"/>
    <mergeCell ref="B44:B45"/>
    <mergeCell ref="G44:G45"/>
    <mergeCell ref="H44:H45"/>
    <mergeCell ref="I44:I45"/>
    <mergeCell ref="J44:J45"/>
    <mergeCell ref="A47:A48"/>
    <mergeCell ref="D49:F49"/>
    <mergeCell ref="K44:K45"/>
    <mergeCell ref="L44:L45"/>
    <mergeCell ref="M44:M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2412-0E9F-449F-A591-8163C64C0706}">
  <sheetPr>
    <tabColor rgb="FFFF0000"/>
  </sheetPr>
  <dimension ref="A1:Q60"/>
  <sheetViews>
    <sheetView zoomScale="79" zoomScaleNormal="79" workbookViewId="0">
      <selection activeCell="A25" sqref="A25:O25"/>
    </sheetView>
  </sheetViews>
  <sheetFormatPr defaultColWidth="8.85546875" defaultRowHeight="12.75"/>
  <cols>
    <col min="1" max="1" width="15.28515625" style="256" customWidth="1"/>
    <col min="2" max="2" width="9.140625" style="256" customWidth="1"/>
    <col min="3" max="3" width="14" style="256" customWidth="1"/>
    <col min="4" max="4" width="33.140625" style="256" customWidth="1"/>
    <col min="5" max="5" width="15.7109375" style="256" customWidth="1"/>
    <col min="6" max="6" width="18.28515625" style="333" customWidth="1"/>
    <col min="7" max="7" width="23.140625" style="333" customWidth="1"/>
    <col min="8" max="8" width="22.42578125" style="256" customWidth="1"/>
    <col min="9" max="9" width="20.85546875" style="256" customWidth="1"/>
    <col min="10" max="10" width="23" style="256" customWidth="1"/>
    <col min="11" max="11" width="20.42578125" style="256" customWidth="1"/>
    <col min="12" max="12" width="23.28515625" style="256" customWidth="1"/>
    <col min="13" max="13" width="20.85546875" style="256" customWidth="1"/>
    <col min="14" max="14" width="23.5703125" style="256" customWidth="1"/>
    <col min="15" max="15" width="20.85546875" style="256" customWidth="1"/>
    <col min="16" max="16384" width="8.85546875" style="256"/>
  </cols>
  <sheetData>
    <row r="1" spans="1:17" ht="13.5" thickBot="1">
      <c r="B1" s="257"/>
      <c r="C1" s="257"/>
      <c r="D1" s="258"/>
      <c r="E1" s="258"/>
      <c r="F1" s="259"/>
      <c r="G1" s="259"/>
      <c r="H1" s="259"/>
      <c r="I1" s="259"/>
      <c r="J1" s="259"/>
      <c r="K1" s="259"/>
      <c r="L1" s="259"/>
    </row>
    <row r="2" spans="1:17" ht="9" customHeight="1">
      <c r="A2" s="260"/>
      <c r="B2" s="261"/>
      <c r="C2" s="261"/>
      <c r="D2" s="262"/>
      <c r="E2" s="262"/>
      <c r="F2" s="263"/>
      <c r="G2" s="263"/>
      <c r="H2" s="263"/>
      <c r="I2" s="264"/>
      <c r="J2" s="264"/>
      <c r="K2" s="264"/>
      <c r="L2" s="264"/>
      <c r="M2" s="260"/>
      <c r="N2" s="260"/>
      <c r="O2" s="260"/>
    </row>
    <row r="3" spans="1:17" ht="10.5" customHeight="1">
      <c r="B3" s="257"/>
      <c r="C3" s="257"/>
      <c r="D3" s="258"/>
      <c r="E3" s="258"/>
      <c r="F3" s="259"/>
      <c r="G3" s="259"/>
      <c r="H3" s="259"/>
      <c r="I3" s="265"/>
      <c r="J3" s="265"/>
      <c r="K3" s="265"/>
      <c r="L3" s="265"/>
    </row>
    <row r="4" spans="1:17" ht="30">
      <c r="A4" s="1043" t="s">
        <v>1427</v>
      </c>
      <c r="B4" s="1020"/>
      <c r="C4" s="1020"/>
      <c r="D4" s="1020"/>
      <c r="E4" s="1020"/>
      <c r="F4" s="1020"/>
      <c r="G4" s="1020"/>
      <c r="H4" s="1020"/>
      <c r="I4" s="1020"/>
      <c r="J4" s="1020"/>
      <c r="K4" s="1020"/>
      <c r="L4" s="1020"/>
      <c r="M4" s="1020"/>
      <c r="N4" s="1020"/>
      <c r="O4" s="1020"/>
    </row>
    <row r="5" spans="1:17" s="266" customFormat="1" ht="38.25" customHeight="1">
      <c r="A5" s="1044" t="s">
        <v>1428</v>
      </c>
      <c r="B5" s="1045"/>
      <c r="C5" s="1045"/>
      <c r="D5" s="1045"/>
      <c r="E5" s="1045"/>
      <c r="F5" s="1045"/>
      <c r="G5" s="1045"/>
      <c r="H5" s="1045"/>
      <c r="I5" s="1045"/>
      <c r="J5" s="1045"/>
      <c r="K5" s="1045"/>
      <c r="L5" s="1045"/>
      <c r="M5" s="1045"/>
      <c r="N5" s="1045"/>
      <c r="O5" s="1045"/>
    </row>
    <row r="6" spans="1:17" ht="9" customHeight="1" thickBot="1">
      <c r="A6" s="267"/>
      <c r="B6" s="553"/>
      <c r="C6" s="553"/>
      <c r="D6" s="554"/>
      <c r="E6" s="554"/>
      <c r="F6" s="555"/>
      <c r="G6" s="555"/>
      <c r="H6" s="555"/>
      <c r="I6" s="506"/>
      <c r="J6" s="506"/>
      <c r="K6" s="506"/>
      <c r="L6" s="506"/>
      <c r="M6" s="267"/>
      <c r="N6" s="267"/>
      <c r="O6" s="267"/>
    </row>
    <row r="9" spans="1:17" s="265" customFormat="1" ht="14.25">
      <c r="B9" s="268"/>
      <c r="C9" s="268"/>
      <c r="D9" s="269"/>
      <c r="E9" s="269"/>
      <c r="F9" s="269"/>
      <c r="G9" s="269"/>
      <c r="H9" s="269"/>
      <c r="I9" s="269"/>
      <c r="J9" s="269"/>
      <c r="K9" s="269"/>
      <c r="L9" s="269"/>
    </row>
    <row r="10" spans="1:17" s="265" customFormat="1" ht="14.25">
      <c r="F10" s="1046" t="s">
        <v>0</v>
      </c>
      <c r="G10" s="1046"/>
      <c r="H10" s="1046"/>
      <c r="I10" s="1046"/>
    </row>
    <row r="11" spans="1:17" s="265" customFormat="1" ht="14.25">
      <c r="G11" s="275" t="s">
        <v>1</v>
      </c>
      <c r="H11" s="265" t="s">
        <v>1429</v>
      </c>
    </row>
    <row r="12" spans="1:17" s="265" customFormat="1" ht="14.25">
      <c r="F12" s="902"/>
      <c r="G12" s="276" t="s">
        <v>5</v>
      </c>
      <c r="H12" s="548" t="s">
        <v>6</v>
      </c>
      <c r="I12" s="548"/>
      <c r="K12" s="548"/>
      <c r="L12" s="799"/>
      <c r="M12" s="256"/>
      <c r="N12" s="256"/>
      <c r="O12" s="256"/>
      <c r="P12" s="256"/>
      <c r="Q12" s="256"/>
    </row>
    <row r="13" spans="1:17" s="265" customFormat="1">
      <c r="F13" s="902"/>
      <c r="G13" s="270" t="s">
        <v>7</v>
      </c>
      <c r="H13" s="556">
        <v>80000</v>
      </c>
      <c r="I13" s="556"/>
      <c r="K13" s="556"/>
      <c r="L13" s="547"/>
      <c r="M13" s="256"/>
      <c r="N13" s="256"/>
      <c r="O13" s="256"/>
      <c r="Q13" s="256"/>
    </row>
    <row r="14" spans="1:17" s="265" customFormat="1">
      <c r="F14" s="902"/>
      <c r="G14" s="270" t="s">
        <v>8</v>
      </c>
      <c r="H14" s="265" t="s">
        <v>159</v>
      </c>
      <c r="L14" s="547"/>
      <c r="M14" s="256"/>
      <c r="N14" s="256"/>
      <c r="O14" s="256"/>
      <c r="P14" s="273"/>
      <c r="Q14" s="256"/>
    </row>
    <row r="15" spans="1:17" s="265" customFormat="1" ht="14.25">
      <c r="A15" s="799"/>
      <c r="B15" s="256"/>
      <c r="C15" s="256"/>
      <c r="D15" s="256"/>
      <c r="E15" s="256"/>
      <c r="F15" s="256"/>
      <c r="G15" s="270" t="s">
        <v>10</v>
      </c>
      <c r="H15" s="265" t="s">
        <v>85</v>
      </c>
      <c r="L15" s="547"/>
      <c r="M15" s="256"/>
      <c r="N15" s="256"/>
      <c r="O15" s="256"/>
    </row>
    <row r="16" spans="1:17" s="265" customFormat="1">
      <c r="A16" s="547"/>
      <c r="B16" s="256"/>
      <c r="C16" s="256"/>
      <c r="E16" s="256"/>
      <c r="F16" s="256"/>
      <c r="G16" s="270" t="s">
        <v>185</v>
      </c>
      <c r="H16" s="265" t="s">
        <v>1430</v>
      </c>
      <c r="L16" s="547"/>
      <c r="M16" s="256"/>
      <c r="N16" s="256"/>
      <c r="O16" s="256"/>
    </row>
    <row r="17" spans="1:15" s="265" customFormat="1">
      <c r="A17" s="547"/>
      <c r="B17" s="256"/>
      <c r="C17" s="256"/>
      <c r="D17" s="903"/>
      <c r="E17" s="904"/>
      <c r="F17" s="904"/>
      <c r="G17" s="270" t="s">
        <v>14</v>
      </c>
      <c r="H17" s="265" t="s">
        <v>15</v>
      </c>
    </row>
    <row r="18" spans="1:15" s="265" customFormat="1">
      <c r="F18" s="902"/>
      <c r="G18" s="270" t="s">
        <v>16</v>
      </c>
      <c r="H18" s="265" t="s">
        <v>1431</v>
      </c>
    </row>
    <row r="19" spans="1:15" s="265" customFormat="1">
      <c r="F19" s="902"/>
      <c r="G19" s="270" t="s">
        <v>18</v>
      </c>
      <c r="H19" s="265" t="s">
        <v>19</v>
      </c>
    </row>
    <row r="20" spans="1:15" s="265" customFormat="1" ht="14.25">
      <c r="C20" s="905"/>
      <c r="F20" s="283"/>
      <c r="G20" s="270" t="s">
        <v>22</v>
      </c>
      <c r="H20" s="265" t="s">
        <v>1432</v>
      </c>
      <c r="K20" s="282"/>
    </row>
    <row r="21" spans="1:15" s="265" customFormat="1" ht="15.75" customHeight="1">
      <c r="D21" s="277"/>
      <c r="E21" s="277"/>
      <c r="F21" s="283"/>
      <c r="G21" s="270" t="s">
        <v>24</v>
      </c>
      <c r="H21" s="265" t="s">
        <v>1433</v>
      </c>
    </row>
    <row r="22" spans="1:15" s="265" customFormat="1" ht="12.75" customHeight="1">
      <c r="D22" s="277"/>
      <c r="E22" s="277"/>
      <c r="F22" s="283"/>
      <c r="G22" s="270" t="s">
        <v>26</v>
      </c>
      <c r="H22" s="265" t="s">
        <v>1434</v>
      </c>
    </row>
    <row r="23" spans="1:15" s="265" customFormat="1" ht="12.75" customHeight="1">
      <c r="D23" s="277"/>
      <c r="E23" s="277"/>
      <c r="F23" s="283"/>
      <c r="G23" s="270" t="s">
        <v>28</v>
      </c>
      <c r="H23" s="265" t="s">
        <v>1435</v>
      </c>
    </row>
    <row r="24" spans="1:15" s="265" customFormat="1" ht="12.75" customHeight="1">
      <c r="D24" s="277"/>
      <c r="E24" s="277"/>
      <c r="F24" s="1329"/>
      <c r="G24" s="1020"/>
    </row>
    <row r="25" spans="1:15" s="265" customFormat="1" ht="14.25">
      <c r="A25" s="1048" t="s">
        <v>30</v>
      </c>
      <c r="B25" s="1020"/>
      <c r="C25" s="1020"/>
      <c r="D25" s="1020"/>
      <c r="E25" s="1020"/>
      <c r="F25" s="1020"/>
      <c r="G25" s="1020"/>
      <c r="H25" s="1020"/>
      <c r="I25" s="1020"/>
      <c r="J25" s="1020"/>
      <c r="K25" s="1020"/>
      <c r="L25" s="1020"/>
      <c r="M25" s="1020"/>
      <c r="N25" s="1020"/>
      <c r="O25" s="1030"/>
    </row>
    <row r="26" spans="1:15" s="265" customFormat="1" ht="14.25">
      <c r="A26" s="1037" t="s">
        <v>1453</v>
      </c>
      <c r="B26" s="1038"/>
      <c r="C26" s="1038"/>
      <c r="D26" s="1038"/>
      <c r="E26" s="1038"/>
      <c r="F26" s="1038"/>
      <c r="G26" s="1038"/>
      <c r="H26" s="1038"/>
      <c r="I26" s="1038"/>
      <c r="J26" s="1038"/>
      <c r="K26" s="1038"/>
      <c r="L26" s="1038"/>
      <c r="M26" s="1038"/>
      <c r="N26" s="1038"/>
      <c r="O26" s="1039"/>
    </row>
    <row r="27" spans="1:15" s="265" customFormat="1" ht="12.75" customHeight="1">
      <c r="A27" s="1028" t="s">
        <v>33</v>
      </c>
      <c r="B27" s="1029"/>
      <c r="C27" s="1029"/>
      <c r="D27" s="1029"/>
      <c r="E27" s="1029"/>
      <c r="F27" s="1029"/>
      <c r="G27" s="1029"/>
      <c r="H27" s="1029"/>
      <c r="I27" s="1093" t="s">
        <v>34</v>
      </c>
      <c r="J27" s="1093"/>
      <c r="K27" s="1093"/>
      <c r="L27" s="1093"/>
      <c r="M27" s="1093"/>
      <c r="N27" s="1093"/>
      <c r="O27" s="1117"/>
    </row>
    <row r="28" spans="1:15" s="265" customFormat="1" ht="12.75" customHeight="1">
      <c r="A28" s="1028" t="s">
        <v>36</v>
      </c>
      <c r="B28" s="1029"/>
      <c r="C28" s="1029"/>
      <c r="D28" s="1029"/>
      <c r="E28" s="1029"/>
      <c r="F28" s="1029"/>
      <c r="G28" s="1029"/>
      <c r="H28" s="1029"/>
      <c r="I28" s="1102">
        <v>0</v>
      </c>
      <c r="J28" s="1102"/>
      <c r="K28" s="1102"/>
      <c r="L28" s="1102"/>
      <c r="M28" s="1102"/>
      <c r="N28" s="1102"/>
      <c r="O28" s="1170"/>
    </row>
    <row r="29" spans="1:15" s="265" customFormat="1" ht="12.75" customHeight="1">
      <c r="A29" s="1028" t="s">
        <v>1438</v>
      </c>
      <c r="B29" s="1029"/>
      <c r="C29" s="1029"/>
      <c r="D29" s="1029"/>
      <c r="E29" s="1029"/>
      <c r="F29" s="1029"/>
      <c r="G29" s="1029"/>
      <c r="H29" s="1029"/>
      <c r="I29" s="1341" t="s">
        <v>38</v>
      </c>
      <c r="J29" s="1341"/>
      <c r="K29" s="1341"/>
      <c r="L29" s="1341"/>
      <c r="M29" s="1341"/>
      <c r="N29" s="1341"/>
      <c r="O29" s="1342"/>
    </row>
    <row r="30" spans="1:15" s="265" customFormat="1" ht="12.75" customHeight="1">
      <c r="A30" s="1028" t="s">
        <v>1454</v>
      </c>
      <c r="B30" s="1029"/>
      <c r="C30" s="1029"/>
      <c r="D30" s="1029"/>
      <c r="E30" s="1029"/>
      <c r="F30" s="1029"/>
      <c r="G30" s="1029"/>
      <c r="H30" s="1029"/>
      <c r="I30" s="1341" t="s">
        <v>1455</v>
      </c>
      <c r="J30" s="1341"/>
      <c r="K30" s="1341"/>
      <c r="L30" s="1341"/>
      <c r="M30" s="1341"/>
      <c r="N30" s="1341"/>
      <c r="O30" s="1342"/>
    </row>
    <row r="31" spans="1:15" s="265" customFormat="1" ht="12.75" customHeight="1">
      <c r="A31" s="1333" t="s">
        <v>954</v>
      </c>
      <c r="B31" s="1343"/>
      <c r="C31" s="1343"/>
      <c r="D31" s="1343"/>
      <c r="E31" s="1343"/>
      <c r="F31" s="1343"/>
      <c r="G31" s="1343"/>
      <c r="H31" s="1343"/>
      <c r="I31" s="1344" t="s">
        <v>38</v>
      </c>
      <c r="J31" s="1344"/>
      <c r="K31" s="1344"/>
      <c r="L31" s="1344"/>
      <c r="M31" s="1344"/>
      <c r="N31" s="1344"/>
      <c r="O31" s="1345"/>
    </row>
    <row r="32" spans="1:15" s="265" customFormat="1" ht="12.75" customHeight="1">
      <c r="A32" s="1333" t="s">
        <v>1456</v>
      </c>
      <c r="B32" s="1343"/>
      <c r="C32" s="1343"/>
      <c r="D32" s="1343"/>
      <c r="E32" s="1343"/>
      <c r="F32" s="1343"/>
      <c r="G32" s="1343"/>
      <c r="H32" s="1343"/>
      <c r="I32" s="1344" t="s">
        <v>1441</v>
      </c>
      <c r="J32" s="1344"/>
      <c r="K32" s="1344"/>
      <c r="L32" s="1344"/>
      <c r="M32" s="1344"/>
      <c r="N32" s="1344"/>
      <c r="O32" s="1345"/>
    </row>
    <row r="33" spans="1:16" s="265" customFormat="1" ht="12.75" customHeight="1">
      <c r="A33" s="1333" t="s">
        <v>1457</v>
      </c>
      <c r="B33" s="1343"/>
      <c r="C33" s="1343"/>
      <c r="D33" s="1343"/>
      <c r="E33" s="1343"/>
      <c r="F33" s="1343"/>
      <c r="G33" s="1343"/>
      <c r="H33" s="1343"/>
      <c r="I33" s="1344" t="s">
        <v>1443</v>
      </c>
      <c r="J33" s="1344"/>
      <c r="K33" s="1344"/>
      <c r="L33" s="1344"/>
      <c r="M33" s="1344"/>
      <c r="N33" s="1344"/>
      <c r="O33" s="1345"/>
    </row>
    <row r="34" spans="1:16" s="265" customFormat="1" ht="12.75" customHeight="1" thickBot="1">
      <c r="A34" s="1336" t="s">
        <v>1458</v>
      </c>
      <c r="B34" s="1337"/>
      <c r="C34" s="1337"/>
      <c r="D34" s="1337"/>
      <c r="E34" s="1337"/>
      <c r="F34" s="1337"/>
      <c r="G34" s="1337"/>
      <c r="H34" s="1337"/>
      <c r="I34" s="1346" t="s">
        <v>1445</v>
      </c>
      <c r="J34" s="1346"/>
      <c r="K34" s="1346"/>
      <c r="L34" s="1346"/>
      <c r="M34" s="1346"/>
      <c r="N34" s="1346"/>
      <c r="O34" s="1347"/>
    </row>
    <row r="35" spans="1:16" s="265" customFormat="1" ht="12.75" customHeight="1">
      <c r="B35" s="577"/>
      <c r="C35" s="577"/>
      <c r="D35" s="277"/>
      <c r="E35" s="277"/>
      <c r="F35" s="277"/>
      <c r="G35" s="277"/>
      <c r="H35" s="277"/>
      <c r="I35" s="277"/>
      <c r="J35" s="283"/>
      <c r="K35" s="283"/>
      <c r="L35" s="893"/>
      <c r="M35" s="447"/>
      <c r="N35" s="447"/>
    </row>
    <row r="36" spans="1:16" s="265" customFormat="1" ht="12.75" customHeight="1">
      <c r="D36" s="277"/>
      <c r="E36" s="277"/>
      <c r="F36" s="329"/>
      <c r="G36" s="256"/>
      <c r="H36" s="256"/>
      <c r="I36" s="256"/>
      <c r="J36" s="256"/>
      <c r="K36" s="836"/>
      <c r="L36" s="836"/>
      <c r="M36" s="270"/>
    </row>
    <row r="37" spans="1:16" s="265" customFormat="1" ht="12.75" customHeight="1">
      <c r="D37" s="277"/>
      <c r="E37" s="277"/>
      <c r="F37" s="329"/>
      <c r="G37" s="256"/>
      <c r="H37" s="256"/>
      <c r="I37" s="256"/>
      <c r="J37" s="256"/>
      <c r="K37" s="558"/>
      <c r="L37" s="558"/>
      <c r="M37" s="270"/>
    </row>
    <row r="38" spans="1:16" s="265" customFormat="1" ht="18" customHeight="1" thickBot="1">
      <c r="C38" s="277"/>
      <c r="D38" s="283"/>
      <c r="E38" s="284"/>
      <c r="F38" s="256"/>
      <c r="G38" s="1224"/>
      <c r="H38" s="1088"/>
      <c r="I38" s="287"/>
      <c r="J38" s="288"/>
    </row>
    <row r="39" spans="1:16" s="265" customFormat="1" ht="15.75" customHeight="1" thickBot="1">
      <c r="F39" s="1063" t="s">
        <v>43</v>
      </c>
      <c r="G39" s="1022"/>
      <c r="H39" s="1023" t="s">
        <v>44</v>
      </c>
      <c r="I39" s="1024"/>
      <c r="J39" s="1024"/>
      <c r="K39" s="1003"/>
      <c r="L39" s="1003"/>
      <c r="M39" s="1003"/>
      <c r="N39" s="1003"/>
      <c r="O39" s="1025"/>
    </row>
    <row r="40" spans="1:16" s="291" customFormat="1" ht="54" customHeight="1" thickBot="1">
      <c r="A40" s="289" t="s">
        <v>45</v>
      </c>
      <c r="B40" s="289" t="s">
        <v>46</v>
      </c>
      <c r="C40" s="290" t="s">
        <v>47</v>
      </c>
      <c r="D40" s="290" t="s">
        <v>48</v>
      </c>
      <c r="E40" s="290" t="s">
        <v>49</v>
      </c>
      <c r="F40" s="290" t="s">
        <v>50</v>
      </c>
      <c r="G40" s="289" t="s">
        <v>51</v>
      </c>
      <c r="H40" s="894" t="s">
        <v>52</v>
      </c>
      <c r="I40" s="895" t="s">
        <v>51</v>
      </c>
      <c r="J40" s="894" t="s">
        <v>53</v>
      </c>
      <c r="K40" s="895" t="s">
        <v>51</v>
      </c>
      <c r="L40" s="894" t="s">
        <v>54</v>
      </c>
      <c r="M40" s="895" t="s">
        <v>51</v>
      </c>
      <c r="N40" s="894" t="s">
        <v>55</v>
      </c>
      <c r="O40" s="895" t="s">
        <v>51</v>
      </c>
    </row>
    <row r="41" spans="1:16" s="557" customFormat="1" ht="30.75" customHeight="1" thickBot="1">
      <c r="A41" s="1014">
        <v>55</v>
      </c>
      <c r="B41" s="1014">
        <v>1</v>
      </c>
      <c r="C41" s="550" t="s">
        <v>1446</v>
      </c>
      <c r="D41" s="559" t="s">
        <v>1447</v>
      </c>
      <c r="E41" s="560">
        <v>2746.71</v>
      </c>
      <c r="F41" s="536">
        <f>SUM(E41:E42)*(1-60%)</f>
        <v>1128.684</v>
      </c>
      <c r="G41" s="1011">
        <f>F41*B41</f>
        <v>1128.684</v>
      </c>
      <c r="H41" s="1011">
        <f>F41*0.0832</f>
        <v>93.906508799999997</v>
      </c>
      <c r="I41" s="1011">
        <f>H41*B41</f>
        <v>93.906508799999997</v>
      </c>
      <c r="J41" s="1011">
        <f>F41*0.0313</f>
        <v>35.327809199999997</v>
      </c>
      <c r="K41" s="1011">
        <f>J41*B41</f>
        <v>35.327809199999997</v>
      </c>
      <c r="L41" s="1011">
        <f>F41*0.0256</f>
        <v>28.894310400000002</v>
      </c>
      <c r="M41" s="1011">
        <f>L41*B41</f>
        <v>28.894310400000002</v>
      </c>
      <c r="N41" s="1011">
        <f>F41*0.0213</f>
        <v>24.040969199999999</v>
      </c>
      <c r="O41" s="1011">
        <f>N41*B41</f>
        <v>24.040969199999999</v>
      </c>
      <c r="P41" s="561"/>
    </row>
    <row r="42" spans="1:16" s="291" customFormat="1" ht="13.5" thickBot="1">
      <c r="A42" s="1016"/>
      <c r="B42" s="1017"/>
      <c r="C42" s="297" t="s">
        <v>56</v>
      </c>
      <c r="D42" s="562" t="s">
        <v>57</v>
      </c>
      <c r="E42" s="491">
        <v>75</v>
      </c>
      <c r="F42" s="300" t="s">
        <v>35</v>
      </c>
      <c r="G42" s="1013"/>
      <c r="H42" s="1027"/>
      <c r="I42" s="1013"/>
      <c r="J42" s="1027"/>
      <c r="K42" s="1013"/>
      <c r="L42" s="1027"/>
      <c r="M42" s="1013"/>
      <c r="N42" s="1027"/>
      <c r="O42" s="1013"/>
    </row>
    <row r="43" spans="1:16" s="519" customFormat="1" ht="13.5" customHeight="1" thickBot="1">
      <c r="A43" s="1002" t="s">
        <v>59</v>
      </c>
      <c r="B43" s="1003"/>
      <c r="C43" s="1003"/>
      <c r="D43" s="1003"/>
      <c r="E43" s="1003"/>
      <c r="F43" s="1003"/>
      <c r="G43" s="1003"/>
      <c r="H43" s="1003"/>
      <c r="I43" s="1003"/>
      <c r="J43" s="1003"/>
      <c r="K43" s="1003"/>
      <c r="L43" s="1003"/>
      <c r="M43" s="1003"/>
      <c r="N43" s="1003"/>
      <c r="O43" s="1025"/>
    </row>
    <row r="44" spans="1:16" s="291" customFormat="1" ht="26.1" customHeight="1" thickBot="1">
      <c r="A44" s="1171"/>
      <c r="B44" s="800"/>
      <c r="C44" s="297" t="s">
        <v>1449</v>
      </c>
      <c r="D44" s="570" t="s">
        <v>1450</v>
      </c>
      <c r="E44" s="896">
        <v>296.54000000000002</v>
      </c>
      <c r="F44" s="897">
        <f>E44*(1-40%)</f>
        <v>177.92400000000001</v>
      </c>
      <c r="G44" s="897">
        <f>F44*B44</f>
        <v>0</v>
      </c>
      <c r="H44" s="898">
        <f>F44*0.0832</f>
        <v>14.803276799999999</v>
      </c>
      <c r="I44" s="898">
        <f>H44*B44</f>
        <v>0</v>
      </c>
      <c r="J44" s="898">
        <f>F44*0.0313</f>
        <v>5.5690212000000008</v>
      </c>
      <c r="K44" s="898">
        <f>J44*B44</f>
        <v>0</v>
      </c>
      <c r="L44" s="898">
        <f>F44*0.0256</f>
        <v>4.5548544</v>
      </c>
      <c r="M44" s="898">
        <f>L44*B44</f>
        <v>0</v>
      </c>
      <c r="N44" s="898">
        <f>F44*0.0213</f>
        <v>3.7897812000000002</v>
      </c>
      <c r="O44" s="898">
        <f>N44*B44</f>
        <v>0</v>
      </c>
    </row>
    <row r="45" spans="1:16" s="291" customFormat="1" ht="26.1" customHeight="1" thickBot="1">
      <c r="A45" s="1007"/>
      <c r="B45" s="297">
        <v>1</v>
      </c>
      <c r="C45" s="297" t="s">
        <v>1451</v>
      </c>
      <c r="D45" s="570" t="s">
        <v>1452</v>
      </c>
      <c r="E45" s="896">
        <v>889.64</v>
      </c>
      <c r="F45" s="897">
        <f>E45*(1-40%)</f>
        <v>533.78399999999999</v>
      </c>
      <c r="G45" s="899">
        <f>F45*B45</f>
        <v>533.78399999999999</v>
      </c>
      <c r="H45" s="898">
        <f>F45*0.0832</f>
        <v>44.410828799999997</v>
      </c>
      <c r="I45" s="900">
        <f>H45*B45</f>
        <v>44.410828799999997</v>
      </c>
      <c r="J45" s="898">
        <f>F45*0.0313</f>
        <v>16.7074392</v>
      </c>
      <c r="K45" s="900">
        <f>J45*B45</f>
        <v>16.7074392</v>
      </c>
      <c r="L45" s="898">
        <f>F45*0.0256</f>
        <v>13.6648704</v>
      </c>
      <c r="M45" s="898">
        <f>L45*B45</f>
        <v>13.6648704</v>
      </c>
      <c r="N45" s="898">
        <f>F45*0.0213</f>
        <v>11.3695992</v>
      </c>
      <c r="O45" s="898">
        <f>N45*B45</f>
        <v>11.3695992</v>
      </c>
    </row>
    <row r="46" spans="1:16" s="315" customFormat="1" ht="15">
      <c r="B46" s="572"/>
      <c r="C46" s="572"/>
      <c r="D46" s="1008" t="s">
        <v>65</v>
      </c>
      <c r="E46" s="1088"/>
      <c r="F46" s="1010"/>
      <c r="G46" s="901">
        <f>SUM(G44:G45)+G41</f>
        <v>1662.4679999999998</v>
      </c>
      <c r="H46" s="329" t="s">
        <v>66</v>
      </c>
      <c r="I46" s="901">
        <f>SUM(I44:I45)+I41</f>
        <v>138.3173376</v>
      </c>
      <c r="J46" s="329" t="s">
        <v>67</v>
      </c>
      <c r="K46" s="901">
        <f>SUM(K44:K45)+K41</f>
        <v>52.0352484</v>
      </c>
      <c r="L46" s="329" t="s">
        <v>68</v>
      </c>
      <c r="M46" s="901">
        <f>SUM(M44:M45)+M41</f>
        <v>42.5591808</v>
      </c>
      <c r="N46" s="329" t="s">
        <v>69</v>
      </c>
      <c r="O46" s="901">
        <f>SUM(O44:O45)+O41</f>
        <v>35.410568400000002</v>
      </c>
    </row>
    <row r="51" spans="2:6" ht="15.75">
      <c r="C51" s="269"/>
      <c r="D51" s="283"/>
      <c r="E51" s="832"/>
      <c r="F51" s="832"/>
    </row>
    <row r="52" spans="2:6" ht="15.75">
      <c r="C52" s="269"/>
      <c r="D52" s="283"/>
      <c r="E52" s="832"/>
      <c r="F52" s="832"/>
    </row>
    <row r="53" spans="2:6" ht="15.75">
      <c r="C53" s="269"/>
      <c r="D53" s="283"/>
      <c r="E53" s="832"/>
      <c r="F53" s="832"/>
    </row>
    <row r="54" spans="2:6" ht="15.75">
      <c r="C54" s="269"/>
      <c r="D54" s="283"/>
      <c r="E54" s="832"/>
      <c r="F54" s="832"/>
    </row>
    <row r="55" spans="2:6" ht="15.75">
      <c r="C55" s="269"/>
      <c r="D55" s="283"/>
      <c r="E55" s="832"/>
      <c r="F55" s="832"/>
    </row>
    <row r="56" spans="2:6" ht="15.75">
      <c r="C56" s="269"/>
      <c r="D56" s="283"/>
      <c r="E56" s="832"/>
      <c r="F56" s="832"/>
    </row>
    <row r="60" spans="2:6">
      <c r="B60" s="258"/>
      <c r="C60" s="258"/>
    </row>
  </sheetData>
  <mergeCells count="39">
    <mergeCell ref="A26:O26"/>
    <mergeCell ref="A4:O4"/>
    <mergeCell ref="A5:O5"/>
    <mergeCell ref="F10:I10"/>
    <mergeCell ref="F24:G24"/>
    <mergeCell ref="A25:O25"/>
    <mergeCell ref="A27:H27"/>
    <mergeCell ref="I27:O27"/>
    <mergeCell ref="A28:H28"/>
    <mergeCell ref="I28:O28"/>
    <mergeCell ref="A29:H29"/>
    <mergeCell ref="I29:O29"/>
    <mergeCell ref="F39:G39"/>
    <mergeCell ref="H39:O39"/>
    <mergeCell ref="A30:H30"/>
    <mergeCell ref="I30:O30"/>
    <mergeCell ref="A31:H31"/>
    <mergeCell ref="I31:O31"/>
    <mergeCell ref="A32:H32"/>
    <mergeCell ref="I32:O32"/>
    <mergeCell ref="A33:H33"/>
    <mergeCell ref="I33:O33"/>
    <mergeCell ref="A34:H34"/>
    <mergeCell ref="I34:O34"/>
    <mergeCell ref="G38:H38"/>
    <mergeCell ref="N41:N42"/>
    <mergeCell ref="O41:O42"/>
    <mergeCell ref="A43:O43"/>
    <mergeCell ref="A41:A42"/>
    <mergeCell ref="B41:B42"/>
    <mergeCell ref="G41:G42"/>
    <mergeCell ref="H41:H42"/>
    <mergeCell ref="I41:I42"/>
    <mergeCell ref="J41:J42"/>
    <mergeCell ref="A44:A45"/>
    <mergeCell ref="D46:F46"/>
    <mergeCell ref="K41:K42"/>
    <mergeCell ref="L41:L42"/>
    <mergeCell ref="M41:M42"/>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2064-BBEA-4DDB-ADC1-FB8487107095}">
  <sheetPr>
    <tabColor rgb="FFFF0000"/>
  </sheetPr>
  <dimension ref="A1:Q77"/>
  <sheetViews>
    <sheetView zoomScale="79" zoomScaleNormal="79" workbookViewId="0">
      <selection activeCell="A25" sqref="A25:O25"/>
    </sheetView>
  </sheetViews>
  <sheetFormatPr defaultColWidth="8.85546875" defaultRowHeight="12.75"/>
  <cols>
    <col min="1" max="1" width="15.28515625" style="256" customWidth="1"/>
    <col min="2" max="2" width="9.140625" style="256" customWidth="1"/>
    <col min="3" max="3" width="14" style="256" customWidth="1"/>
    <col min="4" max="4" width="37.140625" style="256" customWidth="1"/>
    <col min="5" max="5" width="15.7109375" style="256" customWidth="1"/>
    <col min="6" max="6" width="18.28515625" style="333" customWidth="1"/>
    <col min="7" max="7" width="23.140625" style="333" customWidth="1"/>
    <col min="8" max="8" width="22.42578125" style="256" customWidth="1"/>
    <col min="9" max="9" width="20.85546875" style="256" customWidth="1"/>
    <col min="10" max="10" width="23" style="256" customWidth="1"/>
    <col min="11" max="11" width="20.42578125" style="256" customWidth="1"/>
    <col min="12" max="12" width="23.28515625" style="256" customWidth="1"/>
    <col min="13" max="13" width="20.85546875" style="256" customWidth="1"/>
    <col min="14" max="14" width="23.5703125" style="256" customWidth="1"/>
    <col min="15" max="15" width="20.85546875" style="256" customWidth="1"/>
    <col min="16" max="16384" width="8.85546875" style="256"/>
  </cols>
  <sheetData>
    <row r="1" spans="1:17" ht="13.5" thickBot="1">
      <c r="B1" s="257"/>
      <c r="C1" s="257"/>
      <c r="D1" s="258"/>
      <c r="E1" s="258"/>
      <c r="F1" s="259"/>
      <c r="G1" s="259"/>
      <c r="H1" s="259"/>
      <c r="I1" s="259"/>
      <c r="J1" s="259"/>
      <c r="K1" s="259"/>
      <c r="L1" s="259"/>
    </row>
    <row r="2" spans="1:17" ht="9" customHeight="1">
      <c r="A2" s="260"/>
      <c r="B2" s="261"/>
      <c r="C2" s="261"/>
      <c r="D2" s="262"/>
      <c r="E2" s="262"/>
      <c r="F2" s="263"/>
      <c r="G2" s="263"/>
      <c r="H2" s="263"/>
      <c r="I2" s="264"/>
      <c r="J2" s="264"/>
      <c r="K2" s="264"/>
      <c r="L2" s="264"/>
      <c r="M2" s="260"/>
      <c r="N2" s="260"/>
      <c r="O2" s="260"/>
    </row>
    <row r="3" spans="1:17" ht="10.5" customHeight="1">
      <c r="B3" s="257"/>
      <c r="C3" s="257"/>
      <c r="D3" s="258"/>
      <c r="E3" s="258"/>
      <c r="F3" s="259"/>
      <c r="G3" s="259"/>
      <c r="H3" s="259"/>
      <c r="I3" s="265"/>
      <c r="J3" s="265"/>
      <c r="K3" s="265"/>
      <c r="L3" s="265"/>
    </row>
    <row r="4" spans="1:17" ht="30">
      <c r="A4" s="1043" t="s">
        <v>1459</v>
      </c>
      <c r="B4" s="1020"/>
      <c r="C4" s="1020"/>
      <c r="D4" s="1020"/>
      <c r="E4" s="1020"/>
      <c r="F4" s="1020"/>
      <c r="G4" s="1020"/>
      <c r="H4" s="1020"/>
      <c r="I4" s="1020"/>
      <c r="J4" s="1020"/>
      <c r="K4" s="1020"/>
      <c r="L4" s="1020"/>
      <c r="M4" s="1020"/>
      <c r="N4" s="1020"/>
      <c r="O4" s="1020"/>
    </row>
    <row r="5" spans="1:17" s="266" customFormat="1" ht="38.25" customHeight="1">
      <c r="A5" s="1044" t="s">
        <v>1428</v>
      </c>
      <c r="B5" s="1045"/>
      <c r="C5" s="1045"/>
      <c r="D5" s="1045"/>
      <c r="E5" s="1045"/>
      <c r="F5" s="1045"/>
      <c r="G5" s="1045"/>
      <c r="H5" s="1045"/>
      <c r="I5" s="1045"/>
      <c r="J5" s="1045"/>
      <c r="K5" s="1045"/>
      <c r="L5" s="1045"/>
      <c r="M5" s="1045"/>
      <c r="N5" s="1045"/>
      <c r="O5" s="1045"/>
    </row>
    <row r="6" spans="1:17" ht="9" customHeight="1" thickBot="1">
      <c r="A6" s="267"/>
      <c r="B6" s="553"/>
      <c r="C6" s="553"/>
      <c r="D6" s="554"/>
      <c r="E6" s="554"/>
      <c r="F6" s="555"/>
      <c r="G6" s="555"/>
      <c r="H6" s="555"/>
      <c r="I6" s="506"/>
      <c r="J6" s="506"/>
      <c r="K6" s="506"/>
      <c r="L6" s="506"/>
      <c r="M6" s="267"/>
      <c r="N6" s="267"/>
      <c r="O6" s="267"/>
    </row>
    <row r="9" spans="1:17" s="265" customFormat="1" ht="14.25">
      <c r="B9" s="268"/>
      <c r="C9" s="268"/>
      <c r="D9" s="269"/>
      <c r="E9" s="269"/>
      <c r="F9" s="269"/>
      <c r="G9" s="269"/>
      <c r="H9" s="269"/>
      <c r="I9" s="269"/>
      <c r="J9" s="269"/>
      <c r="K9" s="269"/>
      <c r="L9" s="269"/>
    </row>
    <row r="10" spans="1:17" s="265" customFormat="1" ht="14.25">
      <c r="F10" s="1046" t="s">
        <v>0</v>
      </c>
      <c r="G10" s="1046"/>
      <c r="H10" s="1046"/>
      <c r="I10" s="1046"/>
    </row>
    <row r="11" spans="1:17" s="265" customFormat="1" ht="14.25">
      <c r="G11" s="275" t="s">
        <v>1</v>
      </c>
      <c r="H11" s="265" t="s">
        <v>1429</v>
      </c>
    </row>
    <row r="12" spans="1:17" s="265" customFormat="1" ht="14.25">
      <c r="F12" s="902"/>
      <c r="G12" s="276" t="s">
        <v>5</v>
      </c>
      <c r="H12" s="548" t="s">
        <v>6</v>
      </c>
      <c r="I12" s="548"/>
      <c r="K12" s="548"/>
      <c r="L12" s="799"/>
      <c r="M12" s="256"/>
      <c r="N12" s="256"/>
      <c r="O12" s="256"/>
      <c r="P12" s="256"/>
      <c r="Q12" s="256"/>
    </row>
    <row r="13" spans="1:17" s="265" customFormat="1">
      <c r="F13" s="902"/>
      <c r="G13" s="270" t="s">
        <v>7</v>
      </c>
      <c r="H13" s="556">
        <v>80000</v>
      </c>
      <c r="I13" s="556"/>
      <c r="K13" s="556"/>
      <c r="L13" s="547"/>
      <c r="M13" s="256"/>
      <c r="N13" s="256"/>
      <c r="O13" s="256"/>
      <c r="Q13" s="256"/>
    </row>
    <row r="14" spans="1:17" s="265" customFormat="1">
      <c r="F14" s="902"/>
      <c r="G14" s="270" t="s">
        <v>8</v>
      </c>
      <c r="H14" s="265" t="s">
        <v>159</v>
      </c>
      <c r="L14" s="547"/>
      <c r="M14" s="256"/>
      <c r="N14" s="256"/>
      <c r="O14" s="256"/>
      <c r="P14" s="273"/>
      <c r="Q14" s="256"/>
    </row>
    <row r="15" spans="1:17" s="265" customFormat="1" ht="14.25">
      <c r="A15" s="799"/>
      <c r="B15" s="256"/>
      <c r="C15" s="256"/>
      <c r="D15" s="256"/>
      <c r="E15" s="256"/>
      <c r="F15" s="256"/>
      <c r="G15" s="270" t="s">
        <v>10</v>
      </c>
      <c r="H15" s="265" t="s">
        <v>11</v>
      </c>
      <c r="L15" s="547"/>
      <c r="M15" s="256"/>
      <c r="N15" s="256"/>
      <c r="O15" s="256"/>
    </row>
    <row r="16" spans="1:17" s="265" customFormat="1">
      <c r="A16" s="547"/>
      <c r="B16" s="256"/>
      <c r="C16" s="256"/>
      <c r="E16" s="256"/>
      <c r="F16" s="256"/>
      <c r="G16" s="270" t="s">
        <v>185</v>
      </c>
      <c r="H16" s="265" t="s">
        <v>1430</v>
      </c>
      <c r="L16" s="547"/>
      <c r="M16" s="256"/>
      <c r="N16" s="256"/>
      <c r="O16" s="256"/>
    </row>
    <row r="17" spans="1:15" s="265" customFormat="1">
      <c r="A17" s="547"/>
      <c r="B17" s="256"/>
      <c r="C17" s="256"/>
      <c r="D17" s="903"/>
      <c r="E17" s="904"/>
      <c r="F17" s="904"/>
      <c r="G17" s="270" t="s">
        <v>14</v>
      </c>
      <c r="H17" s="265" t="s">
        <v>15</v>
      </c>
    </row>
    <row r="18" spans="1:15" s="265" customFormat="1">
      <c r="F18" s="902"/>
      <c r="G18" s="270" t="s">
        <v>16</v>
      </c>
      <c r="H18" s="265" t="s">
        <v>1431</v>
      </c>
    </row>
    <row r="19" spans="1:15" s="265" customFormat="1">
      <c r="F19" s="902"/>
      <c r="G19" s="270" t="s">
        <v>18</v>
      </c>
      <c r="H19" s="265" t="s">
        <v>19</v>
      </c>
    </row>
    <row r="20" spans="1:15" s="265" customFormat="1" ht="14.25">
      <c r="C20" s="905"/>
      <c r="F20" s="283"/>
      <c r="G20" s="270" t="s">
        <v>22</v>
      </c>
      <c r="H20" s="265" t="s">
        <v>1460</v>
      </c>
      <c r="K20" s="282"/>
    </row>
    <row r="21" spans="1:15" s="265" customFormat="1" ht="15.75" customHeight="1">
      <c r="D21" s="277"/>
      <c r="E21" s="277"/>
      <c r="F21" s="283"/>
      <c r="G21" s="270" t="s">
        <v>24</v>
      </c>
      <c r="H21" s="265" t="s">
        <v>1461</v>
      </c>
    </row>
    <row r="22" spans="1:15" s="265" customFormat="1" ht="12.75" customHeight="1">
      <c r="D22" s="277"/>
      <c r="E22" s="277"/>
      <c r="F22" s="283"/>
      <c r="G22" s="270" t="s">
        <v>26</v>
      </c>
      <c r="H22" s="265" t="s">
        <v>1462</v>
      </c>
    </row>
    <row r="23" spans="1:15" s="265" customFormat="1" ht="12.75" customHeight="1">
      <c r="D23" s="277"/>
      <c r="E23" s="277"/>
      <c r="F23" s="283"/>
      <c r="G23" s="270" t="s">
        <v>28</v>
      </c>
      <c r="H23" s="265" t="s">
        <v>1463</v>
      </c>
    </row>
    <row r="24" spans="1:15" s="265" customFormat="1" ht="12.75" customHeight="1">
      <c r="D24" s="277"/>
      <c r="E24" s="277"/>
      <c r="F24" s="1329"/>
      <c r="G24" s="1020"/>
    </row>
    <row r="25" spans="1:15" s="265" customFormat="1" ht="14.25">
      <c r="A25" s="1048" t="s">
        <v>30</v>
      </c>
      <c r="B25" s="1020"/>
      <c r="C25" s="1020"/>
      <c r="D25" s="1020"/>
      <c r="E25" s="1020"/>
      <c r="F25" s="1020"/>
      <c r="G25" s="1020"/>
      <c r="H25" s="1020"/>
      <c r="I25" s="1020"/>
      <c r="J25" s="1020"/>
      <c r="K25" s="1020"/>
      <c r="L25" s="1020"/>
      <c r="M25" s="1020"/>
      <c r="N25" s="1020"/>
      <c r="O25" s="1030"/>
    </row>
    <row r="26" spans="1:15" s="265" customFormat="1" ht="14.25">
      <c r="A26" s="1037" t="s">
        <v>1464</v>
      </c>
      <c r="B26" s="1020"/>
      <c r="C26" s="1020"/>
      <c r="D26" s="1020"/>
      <c r="E26" s="1020"/>
      <c r="F26" s="1020"/>
      <c r="G26" s="1020"/>
      <c r="H26" s="1030"/>
      <c r="I26" s="1040" t="s">
        <v>1465</v>
      </c>
      <c r="J26" s="1020"/>
      <c r="K26" s="1020"/>
      <c r="L26" s="1020"/>
      <c r="M26" s="1020"/>
      <c r="N26" s="1020"/>
      <c r="O26" s="1030"/>
    </row>
    <row r="27" spans="1:15" s="265" customFormat="1" ht="12.75" customHeight="1">
      <c r="A27" s="1028" t="s">
        <v>33</v>
      </c>
      <c r="B27" s="1020"/>
      <c r="C27" s="1020"/>
      <c r="D27" s="1020"/>
      <c r="E27" s="1020" t="s">
        <v>34</v>
      </c>
      <c r="F27" s="1020"/>
      <c r="G27" s="1020"/>
      <c r="H27" s="551"/>
      <c r="I27" s="1028" t="s">
        <v>33</v>
      </c>
      <c r="J27" s="1020"/>
      <c r="K27" s="1020"/>
      <c r="L27" s="1020"/>
      <c r="M27" s="1020" t="s">
        <v>35</v>
      </c>
      <c r="N27" s="1020"/>
      <c r="O27" s="1030"/>
    </row>
    <row r="28" spans="1:15" s="265" customFormat="1" ht="12.75" customHeight="1">
      <c r="A28" s="1028" t="s">
        <v>36</v>
      </c>
      <c r="B28" s="1020"/>
      <c r="C28" s="1020"/>
      <c r="D28" s="1020"/>
      <c r="E28" s="1035">
        <v>0</v>
      </c>
      <c r="F28" s="1035"/>
      <c r="G28" s="1035"/>
      <c r="H28" s="551"/>
      <c r="I28" s="1028" t="s">
        <v>36</v>
      </c>
      <c r="J28" s="1020"/>
      <c r="K28" s="1020"/>
      <c r="L28" s="1020"/>
      <c r="M28" s="1035">
        <v>384</v>
      </c>
      <c r="N28" s="1035"/>
      <c r="O28" s="1036"/>
    </row>
    <row r="29" spans="1:15" s="265" customFormat="1" ht="12.75" customHeight="1">
      <c r="A29" s="1028" t="s">
        <v>1438</v>
      </c>
      <c r="B29" s="1020"/>
      <c r="C29" s="1020"/>
      <c r="D29" s="1020"/>
      <c r="E29" s="1020" t="s">
        <v>38</v>
      </c>
      <c r="F29" s="1020"/>
      <c r="G29" s="1020"/>
      <c r="H29" s="551"/>
      <c r="I29" s="1028" t="s">
        <v>1438</v>
      </c>
      <c r="J29" s="1020"/>
      <c r="K29" s="1020"/>
      <c r="L29" s="1020"/>
      <c r="M29" s="1020" t="s">
        <v>164</v>
      </c>
      <c r="N29" s="1020"/>
      <c r="O29" s="1030"/>
    </row>
    <row r="30" spans="1:15" s="265" customFormat="1" ht="12.6" customHeight="1">
      <c r="A30" s="1028" t="s">
        <v>1439</v>
      </c>
      <c r="B30" s="1020"/>
      <c r="C30" s="1020"/>
      <c r="D30" s="1020"/>
      <c r="E30" s="1020" t="s">
        <v>284</v>
      </c>
      <c r="F30" s="1020"/>
      <c r="G30" s="1020"/>
      <c r="H30" s="551"/>
      <c r="I30" s="1028" t="s">
        <v>1439</v>
      </c>
      <c r="J30" s="1020"/>
      <c r="K30" s="1020"/>
      <c r="L30" s="1020"/>
      <c r="M30" s="1020" t="s">
        <v>1466</v>
      </c>
      <c r="N30" s="1020"/>
      <c r="O30" s="1030"/>
    </row>
    <row r="31" spans="1:15" s="265" customFormat="1" ht="12.75" customHeight="1">
      <c r="A31" s="1333" t="s">
        <v>954</v>
      </c>
      <c r="B31" s="1334"/>
      <c r="C31" s="1334"/>
      <c r="D31" s="1334"/>
      <c r="E31" s="1334" t="s">
        <v>38</v>
      </c>
      <c r="F31" s="1334"/>
      <c r="G31" s="1334"/>
      <c r="H31" s="907"/>
      <c r="I31" s="1333" t="s">
        <v>1438</v>
      </c>
      <c r="J31" s="1334"/>
      <c r="K31" s="1334"/>
      <c r="L31" s="1334"/>
      <c r="M31" s="1334" t="s">
        <v>164</v>
      </c>
      <c r="N31" s="1334"/>
      <c r="O31" s="1335"/>
    </row>
    <row r="32" spans="1:15" s="265" customFormat="1" ht="12.6" customHeight="1">
      <c r="A32" s="1333" t="s">
        <v>1440</v>
      </c>
      <c r="B32" s="1334"/>
      <c r="C32" s="1334"/>
      <c r="D32" s="1334"/>
      <c r="E32" s="1334" t="s">
        <v>1467</v>
      </c>
      <c r="F32" s="1334"/>
      <c r="G32" s="1334"/>
      <c r="H32" s="1335"/>
      <c r="I32" s="1333" t="s">
        <v>1440</v>
      </c>
      <c r="J32" s="1334"/>
      <c r="K32" s="1334"/>
      <c r="L32" s="1334"/>
      <c r="M32" s="1334" t="s">
        <v>1467</v>
      </c>
      <c r="N32" s="1334"/>
      <c r="O32" s="1335"/>
    </row>
    <row r="33" spans="1:16" s="265" customFormat="1" ht="12.6" customHeight="1">
      <c r="A33" s="1333" t="s">
        <v>1442</v>
      </c>
      <c r="B33" s="1334"/>
      <c r="C33" s="1334"/>
      <c r="D33" s="1334"/>
      <c r="E33" s="1334" t="s">
        <v>1468</v>
      </c>
      <c r="F33" s="1334"/>
      <c r="G33" s="1334"/>
      <c r="H33" s="1335"/>
      <c r="I33" s="1333" t="s">
        <v>1442</v>
      </c>
      <c r="J33" s="1334"/>
      <c r="K33" s="1334"/>
      <c r="L33" s="1334"/>
      <c r="M33" s="1334" t="s">
        <v>1468</v>
      </c>
      <c r="N33" s="1334"/>
      <c r="O33" s="1335"/>
    </row>
    <row r="34" spans="1:16" s="265" customFormat="1" ht="12.6" customHeight="1" thickBot="1">
      <c r="A34" s="1336" t="s">
        <v>1444</v>
      </c>
      <c r="B34" s="1337"/>
      <c r="C34" s="1337"/>
      <c r="D34" s="1337"/>
      <c r="E34" s="1338" t="s">
        <v>1469</v>
      </c>
      <c r="F34" s="1338"/>
      <c r="G34" s="1338"/>
      <c r="H34" s="1339"/>
      <c r="I34" s="1336" t="s">
        <v>1444</v>
      </c>
      <c r="J34" s="1337"/>
      <c r="K34" s="1337"/>
      <c r="L34" s="1337"/>
      <c r="M34" s="1338" t="s">
        <v>1469</v>
      </c>
      <c r="N34" s="1338"/>
      <c r="O34" s="1339"/>
    </row>
    <row r="35" spans="1:16" s="265" customFormat="1" ht="12.75" customHeight="1">
      <c r="B35" s="577"/>
      <c r="C35" s="577"/>
      <c r="D35" s="277"/>
      <c r="E35" s="277"/>
      <c r="F35" s="277"/>
      <c r="G35" s="277"/>
      <c r="H35" s="277"/>
      <c r="I35" s="277"/>
      <c r="J35" s="283"/>
      <c r="K35" s="283"/>
      <c r="L35" s="893"/>
      <c r="M35" s="447"/>
      <c r="N35" s="447"/>
    </row>
    <row r="36" spans="1:16" s="265" customFormat="1" ht="12.75" customHeight="1">
      <c r="D36" s="277"/>
      <c r="E36" s="277"/>
      <c r="F36" s="329"/>
      <c r="G36" s="256"/>
      <c r="H36" s="256"/>
      <c r="I36" s="256"/>
      <c r="J36" s="256"/>
      <c r="K36" s="836"/>
      <c r="L36" s="836"/>
      <c r="M36" s="270"/>
    </row>
    <row r="37" spans="1:16" s="265" customFormat="1" ht="12.75" customHeight="1">
      <c r="D37" s="277"/>
      <c r="E37" s="277"/>
      <c r="F37" s="329"/>
      <c r="G37" s="256"/>
      <c r="H37" s="256"/>
      <c r="I37" s="256"/>
      <c r="J37" s="256"/>
      <c r="K37" s="558"/>
      <c r="L37" s="558"/>
      <c r="M37" s="270"/>
    </row>
    <row r="38" spans="1:16" s="265" customFormat="1" ht="18" customHeight="1" thickBot="1">
      <c r="C38" s="277"/>
      <c r="D38" s="283"/>
      <c r="E38" s="284"/>
      <c r="F38" s="256"/>
      <c r="G38" s="1224"/>
      <c r="H38" s="1088"/>
      <c r="I38" s="287"/>
      <c r="J38" s="288"/>
    </row>
    <row r="39" spans="1:16" s="265" customFormat="1" ht="15.75" customHeight="1" thickBot="1">
      <c r="F39" s="1063" t="s">
        <v>43</v>
      </c>
      <c r="G39" s="1022"/>
      <c r="H39" s="1023" t="s">
        <v>44</v>
      </c>
      <c r="I39" s="1024"/>
      <c r="J39" s="1024"/>
      <c r="K39" s="1003"/>
      <c r="L39" s="1003"/>
      <c r="M39" s="1003"/>
      <c r="N39" s="1003"/>
      <c r="O39" s="1025"/>
    </row>
    <row r="40" spans="1:16" s="291" customFormat="1" ht="54" customHeight="1" thickBot="1">
      <c r="A40" s="289" t="s">
        <v>45</v>
      </c>
      <c r="B40" s="289" t="s">
        <v>46</v>
      </c>
      <c r="C40" s="290" t="s">
        <v>47</v>
      </c>
      <c r="D40" s="290" t="s">
        <v>48</v>
      </c>
      <c r="E40" s="290" t="s">
        <v>49</v>
      </c>
      <c r="F40" s="290" t="s">
        <v>50</v>
      </c>
      <c r="G40" s="289" t="s">
        <v>51</v>
      </c>
      <c r="H40" s="894" t="s">
        <v>52</v>
      </c>
      <c r="I40" s="895" t="s">
        <v>51</v>
      </c>
      <c r="J40" s="894" t="s">
        <v>53</v>
      </c>
      <c r="K40" s="895" t="s">
        <v>51</v>
      </c>
      <c r="L40" s="894" t="s">
        <v>54</v>
      </c>
      <c r="M40" s="895" t="s">
        <v>51</v>
      </c>
      <c r="N40" s="894" t="s">
        <v>55</v>
      </c>
      <c r="O40" s="895" t="s">
        <v>51</v>
      </c>
    </row>
    <row r="41" spans="1:16" s="557" customFormat="1" ht="30.75" customHeight="1" thickBot="1">
      <c r="A41" s="1014" t="s">
        <v>1470</v>
      </c>
      <c r="B41" s="1014"/>
      <c r="C41" s="550" t="s">
        <v>1471</v>
      </c>
      <c r="D41" s="559" t="s">
        <v>1472</v>
      </c>
      <c r="E41" s="560">
        <v>5540.81</v>
      </c>
      <c r="F41" s="536">
        <f>SUM(E41:E42)*(1-60%)</f>
        <v>2246.3240000000001</v>
      </c>
      <c r="G41" s="1011">
        <f>F41*B41</f>
        <v>0</v>
      </c>
      <c r="H41" s="1011">
        <f>F41*0.0832</f>
        <v>186.89415679999999</v>
      </c>
      <c r="I41" s="1011">
        <f>H41*B41</f>
        <v>0</v>
      </c>
      <c r="J41" s="1011">
        <f>F41*0.0313</f>
        <v>70.309941200000011</v>
      </c>
      <c r="K41" s="1011">
        <f>J41*B41</f>
        <v>0</v>
      </c>
      <c r="L41" s="1011">
        <f>F41*0.0256</f>
        <v>57.505894400000003</v>
      </c>
      <c r="M41" s="1011">
        <f>L41*B41</f>
        <v>0</v>
      </c>
      <c r="N41" s="1011">
        <f>F41*0.0213</f>
        <v>47.846701199999998</v>
      </c>
      <c r="O41" s="1011">
        <f>N41*B41</f>
        <v>0</v>
      </c>
      <c r="P41" s="561"/>
    </row>
    <row r="42" spans="1:16" s="291" customFormat="1" ht="13.5" thickBot="1">
      <c r="A42" s="1016"/>
      <c r="B42" s="1017"/>
      <c r="C42" s="297" t="s">
        <v>56</v>
      </c>
      <c r="D42" s="562" t="s">
        <v>57</v>
      </c>
      <c r="E42" s="491">
        <v>75</v>
      </c>
      <c r="F42" s="300" t="s">
        <v>35</v>
      </c>
      <c r="G42" s="1013"/>
      <c r="H42" s="1027"/>
      <c r="I42" s="1013"/>
      <c r="J42" s="1027"/>
      <c r="K42" s="1013"/>
      <c r="L42" s="1027"/>
      <c r="M42" s="1013"/>
      <c r="N42" s="1027"/>
      <c r="O42" s="1013"/>
    </row>
    <row r="43" spans="1:16" s="519" customFormat="1" ht="13.5" thickBot="1">
      <c r="A43" s="563"/>
      <c r="B43" s="308"/>
      <c r="C43" s="545"/>
      <c r="D43" s="537"/>
      <c r="E43" s="564"/>
      <c r="F43" s="312"/>
      <c r="G43" s="308"/>
      <c r="H43" s="314"/>
      <c r="I43" s="308"/>
      <c r="J43" s="314"/>
      <c r="K43" s="313"/>
      <c r="L43" s="314"/>
      <c r="M43" s="308"/>
      <c r="N43" s="314"/>
      <c r="O43" s="313"/>
    </row>
    <row r="44" spans="1:16" s="557" customFormat="1" ht="30.75" customHeight="1" thickBot="1">
      <c r="A44" s="1014" t="s">
        <v>1473</v>
      </c>
      <c r="B44" s="1014"/>
      <c r="C44" s="550" t="s">
        <v>1471</v>
      </c>
      <c r="D44" s="559" t="s">
        <v>1472</v>
      </c>
      <c r="E44" s="560">
        <v>5540.81</v>
      </c>
      <c r="F44" s="536">
        <f>SUM(E44:E45)*(1-60%)</f>
        <v>2246.3240000000001</v>
      </c>
      <c r="G44" s="1011">
        <f>F44*B44</f>
        <v>0</v>
      </c>
      <c r="H44" s="1011">
        <f>F44*0.0832+M28/12</f>
        <v>218.89415679999999</v>
      </c>
      <c r="I44" s="1011">
        <f>H44*B44</f>
        <v>0</v>
      </c>
      <c r="J44" s="1011">
        <f>F41*0.0313+M28/12</f>
        <v>102.30994120000001</v>
      </c>
      <c r="K44" s="1011">
        <f>J44*B44</f>
        <v>0</v>
      </c>
      <c r="L44" s="1011">
        <f>F41*0.0256+M28/12</f>
        <v>89.505894400000003</v>
      </c>
      <c r="M44" s="1011">
        <f>L44*B44</f>
        <v>0</v>
      </c>
      <c r="N44" s="1011">
        <f>F41*0.0213+M28/12</f>
        <v>79.846701199999998</v>
      </c>
      <c r="O44" s="1011">
        <f>N44*B44</f>
        <v>0</v>
      </c>
      <c r="P44" s="561"/>
    </row>
    <row r="45" spans="1:16" s="291" customFormat="1" ht="13.5" thickBot="1">
      <c r="A45" s="1016"/>
      <c r="B45" s="1017"/>
      <c r="C45" s="297" t="s">
        <v>56</v>
      </c>
      <c r="D45" s="562" t="s">
        <v>57</v>
      </c>
      <c r="E45" s="491">
        <v>75</v>
      </c>
      <c r="F45" s="300" t="s">
        <v>35</v>
      </c>
      <c r="G45" s="1013"/>
      <c r="H45" s="1027"/>
      <c r="I45" s="1013"/>
      <c r="J45" s="1027"/>
      <c r="K45" s="1013"/>
      <c r="L45" s="1027"/>
      <c r="M45" s="1013"/>
      <c r="N45" s="1027"/>
      <c r="O45" s="1013"/>
    </row>
    <row r="46" spans="1:16" s="519" customFormat="1" ht="13.5" customHeight="1" thickBot="1">
      <c r="A46" s="1002" t="s">
        <v>59</v>
      </c>
      <c r="B46" s="1003"/>
      <c r="C46" s="1003"/>
      <c r="D46" s="1003"/>
      <c r="E46" s="1003"/>
      <c r="F46" s="1003"/>
      <c r="G46" s="1003"/>
      <c r="H46" s="1003"/>
      <c r="I46" s="1003"/>
      <c r="J46" s="1003"/>
      <c r="K46" s="1003"/>
      <c r="L46" s="1003"/>
      <c r="M46" s="1003"/>
      <c r="N46" s="1003"/>
      <c r="O46" s="1025"/>
    </row>
    <row r="47" spans="1:16" s="291" customFormat="1" ht="26.1" customHeight="1" thickBot="1">
      <c r="A47" s="1171"/>
      <c r="B47" s="800"/>
      <c r="C47" s="297" t="s">
        <v>799</v>
      </c>
      <c r="D47" s="570" t="s">
        <v>1474</v>
      </c>
      <c r="E47" s="896">
        <v>868.9</v>
      </c>
      <c r="F47" s="897">
        <f t="shared" ref="F47:F62" si="0">E47*(1-40%)</f>
        <v>521.33999999999992</v>
      </c>
      <c r="G47" s="897">
        <f t="shared" ref="G47:G60" si="1">F47*B47</f>
        <v>0</v>
      </c>
      <c r="H47" s="898">
        <f t="shared" ref="H47:H62" si="2">F47*0.0832</f>
        <v>43.37548799999999</v>
      </c>
      <c r="I47" s="898">
        <f t="shared" ref="I47:I60" si="3">H47*B47</f>
        <v>0</v>
      </c>
      <c r="J47" s="898">
        <f t="shared" ref="J47:J62" si="4">F47*0.0313</f>
        <v>16.317941999999999</v>
      </c>
      <c r="K47" s="898">
        <f t="shared" ref="K47:K60" si="5">J47*B47</f>
        <v>0</v>
      </c>
      <c r="L47" s="898">
        <f t="shared" ref="L47:L62" si="6">F47*0.0256</f>
        <v>13.346303999999998</v>
      </c>
      <c r="M47" s="898">
        <f t="shared" ref="M47:M60" si="7">L47*B47</f>
        <v>0</v>
      </c>
      <c r="N47" s="898">
        <f t="shared" ref="N47:N62" si="8">F47*0.0213</f>
        <v>11.104541999999999</v>
      </c>
      <c r="O47" s="898">
        <f t="shared" ref="O47:O60" si="9">N47*B47</f>
        <v>0</v>
      </c>
    </row>
    <row r="48" spans="1:16" s="291" customFormat="1" ht="26.1" customHeight="1" thickBot="1">
      <c r="A48" s="1006"/>
      <c r="B48" s="297"/>
      <c r="C48" s="297" t="s">
        <v>1475</v>
      </c>
      <c r="D48" s="570" t="s">
        <v>1476</v>
      </c>
      <c r="E48" s="896">
        <v>471.1</v>
      </c>
      <c r="F48" s="897">
        <f t="shared" si="0"/>
        <v>282.66000000000003</v>
      </c>
      <c r="G48" s="899">
        <f t="shared" si="1"/>
        <v>0</v>
      </c>
      <c r="H48" s="898">
        <f t="shared" si="2"/>
        <v>23.517312</v>
      </c>
      <c r="I48" s="900">
        <f t="shared" si="3"/>
        <v>0</v>
      </c>
      <c r="J48" s="898">
        <f t="shared" si="4"/>
        <v>8.8472580000000018</v>
      </c>
      <c r="K48" s="900">
        <f t="shared" si="5"/>
        <v>0</v>
      </c>
      <c r="L48" s="898">
        <f t="shared" si="6"/>
        <v>7.2360960000000007</v>
      </c>
      <c r="M48" s="898">
        <f t="shared" si="7"/>
        <v>0</v>
      </c>
      <c r="N48" s="898">
        <f t="shared" si="8"/>
        <v>6.0206580000000001</v>
      </c>
      <c r="O48" s="898">
        <f t="shared" si="9"/>
        <v>0</v>
      </c>
    </row>
    <row r="49" spans="1:15" s="291" customFormat="1" ht="26.1" customHeight="1" thickBot="1">
      <c r="A49" s="1006"/>
      <c r="B49" s="297"/>
      <c r="C49" s="297" t="s">
        <v>811</v>
      </c>
      <c r="D49" s="570" t="s">
        <v>1477</v>
      </c>
      <c r="E49" s="896">
        <v>85.77</v>
      </c>
      <c r="F49" s="897">
        <f t="shared" si="0"/>
        <v>51.461999999999996</v>
      </c>
      <c r="G49" s="899">
        <f t="shared" si="1"/>
        <v>0</v>
      </c>
      <c r="H49" s="898">
        <f t="shared" si="2"/>
        <v>4.2816383999999994</v>
      </c>
      <c r="I49" s="900">
        <f t="shared" si="3"/>
        <v>0</v>
      </c>
      <c r="J49" s="898">
        <f t="shared" si="4"/>
        <v>1.6107605999999999</v>
      </c>
      <c r="K49" s="900">
        <f t="shared" si="5"/>
        <v>0</v>
      </c>
      <c r="L49" s="898">
        <f t="shared" si="6"/>
        <v>1.3174272</v>
      </c>
      <c r="M49" s="898">
        <f t="shared" si="7"/>
        <v>0</v>
      </c>
      <c r="N49" s="898">
        <f t="shared" si="8"/>
        <v>1.0961405999999998</v>
      </c>
      <c r="O49" s="898">
        <f t="shared" si="9"/>
        <v>0</v>
      </c>
    </row>
    <row r="50" spans="1:15" s="291" customFormat="1" ht="26.1" customHeight="1" thickBot="1">
      <c r="A50" s="1006"/>
      <c r="B50" s="297"/>
      <c r="C50" s="297" t="s">
        <v>811</v>
      </c>
      <c r="D50" s="570" t="s">
        <v>1478</v>
      </c>
      <c r="E50" s="896">
        <v>85.77</v>
      </c>
      <c r="F50" s="897">
        <f t="shared" si="0"/>
        <v>51.461999999999996</v>
      </c>
      <c r="G50" s="899">
        <f t="shared" si="1"/>
        <v>0</v>
      </c>
      <c r="H50" s="898">
        <f t="shared" si="2"/>
        <v>4.2816383999999994</v>
      </c>
      <c r="I50" s="900">
        <f t="shared" si="3"/>
        <v>0</v>
      </c>
      <c r="J50" s="898">
        <f t="shared" si="4"/>
        <v>1.6107605999999999</v>
      </c>
      <c r="K50" s="900">
        <f t="shared" si="5"/>
        <v>0</v>
      </c>
      <c r="L50" s="898">
        <f t="shared" si="6"/>
        <v>1.3174272</v>
      </c>
      <c r="M50" s="898">
        <f t="shared" si="7"/>
        <v>0</v>
      </c>
      <c r="N50" s="898">
        <f t="shared" si="8"/>
        <v>1.0961405999999998</v>
      </c>
      <c r="O50" s="898">
        <f t="shared" si="9"/>
        <v>0</v>
      </c>
    </row>
    <row r="51" spans="1:15" s="291" customFormat="1" ht="26.1" customHeight="1" thickBot="1">
      <c r="A51" s="1006"/>
      <c r="B51" s="297"/>
      <c r="C51" s="297" t="s">
        <v>809</v>
      </c>
      <c r="D51" s="570" t="s">
        <v>1479</v>
      </c>
      <c r="E51" s="896">
        <v>50.42</v>
      </c>
      <c r="F51" s="897">
        <f t="shared" si="0"/>
        <v>30.251999999999999</v>
      </c>
      <c r="G51" s="899">
        <f t="shared" si="1"/>
        <v>0</v>
      </c>
      <c r="H51" s="898">
        <f t="shared" si="2"/>
        <v>2.5169663999999998</v>
      </c>
      <c r="I51" s="900">
        <f t="shared" si="3"/>
        <v>0</v>
      </c>
      <c r="J51" s="898">
        <f t="shared" si="4"/>
        <v>0.94688760000000005</v>
      </c>
      <c r="K51" s="900">
        <f t="shared" si="5"/>
        <v>0</v>
      </c>
      <c r="L51" s="898">
        <f t="shared" si="6"/>
        <v>0.77445120000000001</v>
      </c>
      <c r="M51" s="898">
        <f t="shared" si="7"/>
        <v>0</v>
      </c>
      <c r="N51" s="898">
        <f t="shared" si="8"/>
        <v>0.64436759999999993</v>
      </c>
      <c r="O51" s="898">
        <f t="shared" si="9"/>
        <v>0</v>
      </c>
    </row>
    <row r="52" spans="1:15" s="291" customFormat="1" ht="26.1" customHeight="1" thickBot="1">
      <c r="A52" s="1006"/>
      <c r="B52" s="297"/>
      <c r="C52" s="297" t="s">
        <v>1480</v>
      </c>
      <c r="D52" s="570" t="s">
        <v>1481</v>
      </c>
      <c r="E52" s="896">
        <v>137.94</v>
      </c>
      <c r="F52" s="897">
        <f t="shared" si="0"/>
        <v>82.763999999999996</v>
      </c>
      <c r="G52" s="899">
        <f t="shared" si="1"/>
        <v>0</v>
      </c>
      <c r="H52" s="898">
        <f t="shared" si="2"/>
        <v>6.8859647999999991</v>
      </c>
      <c r="I52" s="900">
        <f t="shared" si="3"/>
        <v>0</v>
      </c>
      <c r="J52" s="898">
        <f t="shared" si="4"/>
        <v>2.5905132000000002</v>
      </c>
      <c r="K52" s="900">
        <f t="shared" si="5"/>
        <v>0</v>
      </c>
      <c r="L52" s="898">
        <f t="shared" si="6"/>
        <v>2.1187583999999999</v>
      </c>
      <c r="M52" s="898">
        <f t="shared" si="7"/>
        <v>0</v>
      </c>
      <c r="N52" s="898">
        <f t="shared" si="8"/>
        <v>1.7628731999999998</v>
      </c>
      <c r="O52" s="898">
        <f t="shared" si="9"/>
        <v>0</v>
      </c>
    </row>
    <row r="53" spans="1:15" s="291" customFormat="1" ht="26.1" customHeight="1" thickBot="1">
      <c r="A53" s="1006"/>
      <c r="B53" s="297"/>
      <c r="C53" s="297" t="s">
        <v>1482</v>
      </c>
      <c r="D53" s="570" t="s">
        <v>1483</v>
      </c>
      <c r="E53" s="896">
        <v>371.67</v>
      </c>
      <c r="F53" s="897">
        <f t="shared" si="0"/>
        <v>223.00200000000001</v>
      </c>
      <c r="G53" s="899">
        <f t="shared" si="1"/>
        <v>0</v>
      </c>
      <c r="H53" s="898">
        <f t="shared" si="2"/>
        <v>18.553766400000001</v>
      </c>
      <c r="I53" s="900">
        <f t="shared" si="3"/>
        <v>0</v>
      </c>
      <c r="J53" s="898">
        <f t="shared" si="4"/>
        <v>6.9799626000000004</v>
      </c>
      <c r="K53" s="900">
        <f t="shared" si="5"/>
        <v>0</v>
      </c>
      <c r="L53" s="898">
        <f t="shared" si="6"/>
        <v>5.7088512000000007</v>
      </c>
      <c r="M53" s="898">
        <f t="shared" si="7"/>
        <v>0</v>
      </c>
      <c r="N53" s="898">
        <f t="shared" si="8"/>
        <v>4.7499425999999998</v>
      </c>
      <c r="O53" s="898">
        <f t="shared" si="9"/>
        <v>0</v>
      </c>
    </row>
    <row r="54" spans="1:15" s="291" customFormat="1" ht="26.1" customHeight="1" thickBot="1">
      <c r="A54" s="1006"/>
      <c r="B54" s="297"/>
      <c r="C54" s="297" t="s">
        <v>1484</v>
      </c>
      <c r="D54" s="570" t="s">
        <v>1485</v>
      </c>
      <c r="E54" s="896">
        <v>135.49</v>
      </c>
      <c r="F54" s="897">
        <f t="shared" si="0"/>
        <v>81.293999999999997</v>
      </c>
      <c r="G54" s="899">
        <f t="shared" si="1"/>
        <v>0</v>
      </c>
      <c r="H54" s="898">
        <f t="shared" si="2"/>
        <v>6.7636607999999994</v>
      </c>
      <c r="I54" s="900">
        <f t="shared" si="3"/>
        <v>0</v>
      </c>
      <c r="J54" s="898">
        <f t="shared" si="4"/>
        <v>2.5445022000000002</v>
      </c>
      <c r="K54" s="900">
        <f t="shared" si="5"/>
        <v>0</v>
      </c>
      <c r="L54" s="898">
        <f t="shared" si="6"/>
        <v>2.0811264</v>
      </c>
      <c r="M54" s="898">
        <f t="shared" si="7"/>
        <v>0</v>
      </c>
      <c r="N54" s="898">
        <f t="shared" si="8"/>
        <v>1.7315621999999999</v>
      </c>
      <c r="O54" s="898">
        <f t="shared" si="9"/>
        <v>0</v>
      </c>
    </row>
    <row r="55" spans="1:15" s="291" customFormat="1" ht="26.1" customHeight="1" thickBot="1">
      <c r="A55" s="1006"/>
      <c r="B55" s="297"/>
      <c r="C55" s="297" t="s">
        <v>1486</v>
      </c>
      <c r="D55" s="570" t="s">
        <v>1487</v>
      </c>
      <c r="E55" s="896">
        <v>147.91999999999999</v>
      </c>
      <c r="F55" s="897">
        <f t="shared" si="0"/>
        <v>88.751999999999995</v>
      </c>
      <c r="G55" s="899">
        <f t="shared" si="1"/>
        <v>0</v>
      </c>
      <c r="H55" s="898">
        <f t="shared" si="2"/>
        <v>7.3841663999999989</v>
      </c>
      <c r="I55" s="900">
        <f t="shared" si="3"/>
        <v>0</v>
      </c>
      <c r="J55" s="898">
        <f t="shared" si="4"/>
        <v>2.7779376</v>
      </c>
      <c r="K55" s="900">
        <f t="shared" si="5"/>
        <v>0</v>
      </c>
      <c r="L55" s="898">
        <f t="shared" si="6"/>
        <v>2.2720511999999999</v>
      </c>
      <c r="M55" s="898">
        <f t="shared" si="7"/>
        <v>0</v>
      </c>
      <c r="N55" s="898">
        <f t="shared" si="8"/>
        <v>1.8904175999999999</v>
      </c>
      <c r="O55" s="898">
        <f t="shared" si="9"/>
        <v>0</v>
      </c>
    </row>
    <row r="56" spans="1:15" s="291" customFormat="1" ht="26.1" customHeight="1" thickBot="1">
      <c r="A56" s="1006"/>
      <c r="B56" s="297"/>
      <c r="C56" s="297" t="s">
        <v>1488</v>
      </c>
      <c r="D56" s="570" t="s">
        <v>1489</v>
      </c>
      <c r="E56" s="896">
        <v>140.26</v>
      </c>
      <c r="F56" s="897">
        <f t="shared" si="0"/>
        <v>84.155999999999992</v>
      </c>
      <c r="G56" s="899">
        <f t="shared" si="1"/>
        <v>0</v>
      </c>
      <c r="H56" s="898">
        <f t="shared" si="2"/>
        <v>7.0017791999999988</v>
      </c>
      <c r="I56" s="900">
        <f t="shared" si="3"/>
        <v>0</v>
      </c>
      <c r="J56" s="898">
        <f t="shared" si="4"/>
        <v>2.6340827999999998</v>
      </c>
      <c r="K56" s="900">
        <f t="shared" si="5"/>
        <v>0</v>
      </c>
      <c r="L56" s="898">
        <f t="shared" si="6"/>
        <v>2.1543935999999997</v>
      </c>
      <c r="M56" s="898">
        <f t="shared" si="7"/>
        <v>0</v>
      </c>
      <c r="N56" s="898">
        <f t="shared" si="8"/>
        <v>1.7925227999999997</v>
      </c>
      <c r="O56" s="898">
        <f t="shared" si="9"/>
        <v>0</v>
      </c>
    </row>
    <row r="57" spans="1:15" s="291" customFormat="1" ht="26.1" customHeight="1" thickBot="1">
      <c r="A57" s="1006"/>
      <c r="B57" s="297"/>
      <c r="C57" s="297" t="s">
        <v>1490</v>
      </c>
      <c r="D57" s="570" t="s">
        <v>1491</v>
      </c>
      <c r="E57" s="896">
        <v>444.98</v>
      </c>
      <c r="F57" s="897">
        <f t="shared" si="0"/>
        <v>266.988</v>
      </c>
      <c r="G57" s="899">
        <f t="shared" si="1"/>
        <v>0</v>
      </c>
      <c r="H57" s="898">
        <f t="shared" si="2"/>
        <v>22.213401599999997</v>
      </c>
      <c r="I57" s="900">
        <f t="shared" si="3"/>
        <v>0</v>
      </c>
      <c r="J57" s="898">
        <f t="shared" si="4"/>
        <v>8.3567244000000009</v>
      </c>
      <c r="K57" s="900">
        <f t="shared" si="5"/>
        <v>0</v>
      </c>
      <c r="L57" s="898">
        <f t="shared" si="6"/>
        <v>6.8348928000000004</v>
      </c>
      <c r="M57" s="898">
        <f t="shared" si="7"/>
        <v>0</v>
      </c>
      <c r="N57" s="898">
        <f t="shared" si="8"/>
        <v>5.6868444</v>
      </c>
      <c r="O57" s="898">
        <f t="shared" si="9"/>
        <v>0</v>
      </c>
    </row>
    <row r="58" spans="1:15" s="291" customFormat="1" ht="26.1" customHeight="1" thickBot="1">
      <c r="A58" s="1006"/>
      <c r="B58" s="297"/>
      <c r="C58" s="297" t="s">
        <v>1492</v>
      </c>
      <c r="D58" s="570" t="s">
        <v>1493</v>
      </c>
      <c r="E58" s="896">
        <v>622.98</v>
      </c>
      <c r="F58" s="897">
        <f t="shared" si="0"/>
        <v>373.78800000000001</v>
      </c>
      <c r="G58" s="899">
        <f>F58*B58</f>
        <v>0</v>
      </c>
      <c r="H58" s="898">
        <f t="shared" si="2"/>
        <v>31.099161599999999</v>
      </c>
      <c r="I58" s="900">
        <f>H58*B58</f>
        <v>0</v>
      </c>
      <c r="J58" s="898">
        <f t="shared" si="4"/>
        <v>11.699564400000002</v>
      </c>
      <c r="K58" s="900">
        <f>J58*B58</f>
        <v>0</v>
      </c>
      <c r="L58" s="898">
        <f t="shared" si="6"/>
        <v>9.5689728000000009</v>
      </c>
      <c r="M58" s="898">
        <f>L58*B58</f>
        <v>0</v>
      </c>
      <c r="N58" s="898">
        <f t="shared" si="8"/>
        <v>7.9616844000000002</v>
      </c>
      <c r="O58" s="898">
        <f>N58*B58</f>
        <v>0</v>
      </c>
    </row>
    <row r="59" spans="1:15" s="291" customFormat="1" ht="26.1" customHeight="1" thickBot="1">
      <c r="A59" s="1006"/>
      <c r="B59" s="297"/>
      <c r="C59" s="297" t="s">
        <v>1492</v>
      </c>
      <c r="D59" s="570" t="s">
        <v>1494</v>
      </c>
      <c r="E59" s="896">
        <v>622.98</v>
      </c>
      <c r="F59" s="897">
        <f t="shared" si="0"/>
        <v>373.78800000000001</v>
      </c>
      <c r="G59" s="899">
        <f>F59*B59</f>
        <v>0</v>
      </c>
      <c r="H59" s="898">
        <f t="shared" si="2"/>
        <v>31.099161599999999</v>
      </c>
      <c r="I59" s="900">
        <f>H59*B59</f>
        <v>0</v>
      </c>
      <c r="J59" s="898">
        <f t="shared" si="4"/>
        <v>11.699564400000002</v>
      </c>
      <c r="K59" s="900">
        <f>J59*B59</f>
        <v>0</v>
      </c>
      <c r="L59" s="898">
        <f t="shared" si="6"/>
        <v>9.5689728000000009</v>
      </c>
      <c r="M59" s="898">
        <f>L59*B59</f>
        <v>0</v>
      </c>
      <c r="N59" s="898">
        <f t="shared" si="8"/>
        <v>7.9616844000000002</v>
      </c>
      <c r="O59" s="898">
        <f>N59*B59</f>
        <v>0</v>
      </c>
    </row>
    <row r="60" spans="1:15" s="291" customFormat="1" ht="26.1" customHeight="1" thickBot="1">
      <c r="A60" s="1006"/>
      <c r="B60" s="297"/>
      <c r="C60" s="297" t="s">
        <v>1495</v>
      </c>
      <c r="D60" s="570" t="s">
        <v>1496</v>
      </c>
      <c r="E60" s="896">
        <v>1779.98</v>
      </c>
      <c r="F60" s="897">
        <f t="shared" si="0"/>
        <v>1067.9880000000001</v>
      </c>
      <c r="G60" s="899">
        <f t="shared" si="1"/>
        <v>0</v>
      </c>
      <c r="H60" s="898">
        <f t="shared" si="2"/>
        <v>88.856601600000005</v>
      </c>
      <c r="I60" s="900">
        <f t="shared" si="3"/>
        <v>0</v>
      </c>
      <c r="J60" s="898">
        <f t="shared" si="4"/>
        <v>33.428024400000005</v>
      </c>
      <c r="K60" s="900">
        <f t="shared" si="5"/>
        <v>0</v>
      </c>
      <c r="L60" s="898">
        <f t="shared" si="6"/>
        <v>27.340492800000003</v>
      </c>
      <c r="M60" s="898">
        <f t="shared" si="7"/>
        <v>0</v>
      </c>
      <c r="N60" s="898">
        <f t="shared" si="8"/>
        <v>22.748144400000001</v>
      </c>
      <c r="O60" s="898">
        <f t="shared" si="9"/>
        <v>0</v>
      </c>
    </row>
    <row r="61" spans="1:15" s="291" customFormat="1" ht="26.1" customHeight="1" thickBot="1">
      <c r="A61" s="1006"/>
      <c r="B61" s="297"/>
      <c r="C61" s="297" t="s">
        <v>1497</v>
      </c>
      <c r="D61" s="570" t="s">
        <v>1498</v>
      </c>
      <c r="E61" s="896">
        <v>87.52</v>
      </c>
      <c r="F61" s="897">
        <f t="shared" si="0"/>
        <v>52.511999999999993</v>
      </c>
      <c r="G61" s="899">
        <f>F61*B61</f>
        <v>0</v>
      </c>
      <c r="H61" s="898">
        <f t="shared" si="2"/>
        <v>4.3689983999999988</v>
      </c>
      <c r="I61" s="900">
        <f>H61*B61</f>
        <v>0</v>
      </c>
      <c r="J61" s="898">
        <f t="shared" si="4"/>
        <v>1.6436255999999998</v>
      </c>
      <c r="K61" s="900">
        <f>J61*B61</f>
        <v>0</v>
      </c>
      <c r="L61" s="898">
        <f t="shared" si="6"/>
        <v>1.3443071999999998</v>
      </c>
      <c r="M61" s="898">
        <f>L61*B61</f>
        <v>0</v>
      </c>
      <c r="N61" s="898">
        <f t="shared" si="8"/>
        <v>1.1185055999999998</v>
      </c>
      <c r="O61" s="898">
        <f>N61*B61</f>
        <v>0</v>
      </c>
    </row>
    <row r="62" spans="1:15" s="291" customFormat="1" ht="26.1" customHeight="1" thickBot="1">
      <c r="A62" s="1007"/>
      <c r="B62" s="297"/>
      <c r="C62" s="297" t="s">
        <v>1499</v>
      </c>
      <c r="D62" s="570" t="s">
        <v>1500</v>
      </c>
      <c r="E62" s="896">
        <v>202.6</v>
      </c>
      <c r="F62" s="897">
        <f t="shared" si="0"/>
        <v>121.55999999999999</v>
      </c>
      <c r="G62" s="899">
        <f>F62*B62</f>
        <v>0</v>
      </c>
      <c r="H62" s="898">
        <f t="shared" si="2"/>
        <v>10.113791999999998</v>
      </c>
      <c r="I62" s="900">
        <f>H62*B62</f>
        <v>0</v>
      </c>
      <c r="J62" s="898">
        <f t="shared" si="4"/>
        <v>3.8048279999999997</v>
      </c>
      <c r="K62" s="900">
        <f>J62*B62</f>
        <v>0</v>
      </c>
      <c r="L62" s="898">
        <f t="shared" si="6"/>
        <v>3.111936</v>
      </c>
      <c r="M62" s="898">
        <f>L62*B62</f>
        <v>0</v>
      </c>
      <c r="N62" s="898">
        <f t="shared" si="8"/>
        <v>2.5892279999999999</v>
      </c>
      <c r="O62" s="898">
        <f>N62*B62</f>
        <v>0</v>
      </c>
    </row>
    <row r="63" spans="1:15" s="315" customFormat="1" ht="15">
      <c r="B63" s="572"/>
      <c r="C63" s="572"/>
      <c r="D63" s="1008" t="s">
        <v>65</v>
      </c>
      <c r="E63" s="1088"/>
      <c r="F63" s="1010"/>
      <c r="G63" s="901">
        <f t="array" ref="G63">SUM(G47:G62)+G41:G47:G62+G44</f>
        <v>0</v>
      </c>
      <c r="H63" s="329" t="s">
        <v>66</v>
      </c>
      <c r="I63" s="901">
        <f t="array" ref="I63">SUM(I47:I62)+I41:I47:I62+I44</f>
        <v>0</v>
      </c>
      <c r="J63" s="329" t="s">
        <v>67</v>
      </c>
      <c r="K63" s="901">
        <f t="array" ref="K63">SUM(K47:K62)+K41:K47:K62+K44</f>
        <v>0</v>
      </c>
      <c r="L63" s="329" t="s">
        <v>68</v>
      </c>
      <c r="M63" s="901">
        <f t="array" ref="M63">SUM(M47:M62)+M41:M47:M62+M44</f>
        <v>0</v>
      </c>
      <c r="N63" s="329" t="s">
        <v>69</v>
      </c>
      <c r="O63" s="901">
        <f t="array" ref="O63">SUM(O47:O62)+O41:O47:O62+O44</f>
        <v>0</v>
      </c>
    </row>
    <row r="68" spans="2:6" ht="15.75">
      <c r="C68" s="269"/>
      <c r="D68" s="283"/>
      <c r="E68" s="832"/>
      <c r="F68" s="832"/>
    </row>
    <row r="69" spans="2:6" ht="15.75">
      <c r="C69" s="269"/>
      <c r="D69" s="283"/>
      <c r="E69" s="832"/>
      <c r="F69" s="832"/>
    </row>
    <row r="70" spans="2:6" ht="15.75">
      <c r="C70" s="269"/>
      <c r="D70" s="283"/>
      <c r="E70" s="832"/>
      <c r="F70" s="832"/>
    </row>
    <row r="71" spans="2:6" ht="15.75">
      <c r="C71" s="269"/>
      <c r="D71" s="283"/>
      <c r="E71" s="832"/>
      <c r="F71" s="832"/>
    </row>
    <row r="72" spans="2:6" ht="15.75">
      <c r="C72" s="269"/>
      <c r="D72" s="283"/>
      <c r="E72" s="832"/>
      <c r="F72" s="832"/>
    </row>
    <row r="73" spans="2:6" ht="15.75">
      <c r="C73" s="269"/>
      <c r="D73" s="283"/>
      <c r="E73" s="832"/>
      <c r="F73" s="832"/>
    </row>
    <row r="77" spans="2:6">
      <c r="B77" s="258"/>
      <c r="C77" s="258"/>
    </row>
  </sheetData>
  <mergeCells count="67">
    <mergeCell ref="A26:H26"/>
    <mergeCell ref="I26:O26"/>
    <mergeCell ref="A4:O4"/>
    <mergeCell ref="A5:O5"/>
    <mergeCell ref="F10:I10"/>
    <mergeCell ref="F24:G24"/>
    <mergeCell ref="A25:O25"/>
    <mergeCell ref="A27:D27"/>
    <mergeCell ref="E27:G27"/>
    <mergeCell ref="I27:L27"/>
    <mergeCell ref="M27:O27"/>
    <mergeCell ref="A28:D28"/>
    <mergeCell ref="E28:G28"/>
    <mergeCell ref="I28:L28"/>
    <mergeCell ref="M28:O28"/>
    <mergeCell ref="A29:D29"/>
    <mergeCell ref="E29:G29"/>
    <mergeCell ref="I29:L29"/>
    <mergeCell ref="M29:O29"/>
    <mergeCell ref="A30:D30"/>
    <mergeCell ref="E30:G30"/>
    <mergeCell ref="I30:L30"/>
    <mergeCell ref="M30:O30"/>
    <mergeCell ref="A31:D31"/>
    <mergeCell ref="E31:G31"/>
    <mergeCell ref="I31:L31"/>
    <mergeCell ref="M31:O31"/>
    <mergeCell ref="A32:D32"/>
    <mergeCell ref="E32:H32"/>
    <mergeCell ref="I32:L32"/>
    <mergeCell ref="M32:O32"/>
    <mergeCell ref="A33:D33"/>
    <mergeCell ref="E33:H33"/>
    <mergeCell ref="I33:L33"/>
    <mergeCell ref="M33:O33"/>
    <mergeCell ref="A34:D34"/>
    <mergeCell ref="E34:H34"/>
    <mergeCell ref="I34:L34"/>
    <mergeCell ref="M34:O34"/>
    <mergeCell ref="G38:H38"/>
    <mergeCell ref="F39:G39"/>
    <mergeCell ref="H39:O39"/>
    <mergeCell ref="A41:A42"/>
    <mergeCell ref="B41:B42"/>
    <mergeCell ref="G41:G42"/>
    <mergeCell ref="H41:H42"/>
    <mergeCell ref="I41:I42"/>
    <mergeCell ref="J41:J42"/>
    <mergeCell ref="K41:K42"/>
    <mergeCell ref="N44:N45"/>
    <mergeCell ref="O44:O45"/>
    <mergeCell ref="A46:O46"/>
    <mergeCell ref="L41:L42"/>
    <mergeCell ref="M41:M42"/>
    <mergeCell ref="N41:N42"/>
    <mergeCell ref="O41:O42"/>
    <mergeCell ref="A44:A45"/>
    <mergeCell ref="B44:B45"/>
    <mergeCell ref="G44:G45"/>
    <mergeCell ref="H44:H45"/>
    <mergeCell ref="I44:I45"/>
    <mergeCell ref="J44:J45"/>
    <mergeCell ref="A47:A62"/>
    <mergeCell ref="D63:F63"/>
    <mergeCell ref="K44:K45"/>
    <mergeCell ref="L44:L45"/>
    <mergeCell ref="M44:M45"/>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4A9-5973-4548-B99A-E659C0E0A95D}">
  <sheetPr>
    <tabColor rgb="FFFF0000"/>
  </sheetPr>
  <dimension ref="A1:P90"/>
  <sheetViews>
    <sheetView topLeftCell="A7" zoomScale="80" zoomScaleNormal="80" zoomScalePageLayoutView="90" workbookViewId="0">
      <selection activeCell="A25" sqref="A25:O25"/>
    </sheetView>
  </sheetViews>
  <sheetFormatPr defaultColWidth="8.85546875" defaultRowHeight="12.75"/>
  <cols>
    <col min="1" max="1" width="14.140625" style="256" customWidth="1"/>
    <col min="2" max="2" width="10.5703125" style="256" customWidth="1"/>
    <col min="3" max="3" width="18" style="256" customWidth="1"/>
    <col min="4" max="4" width="44.42578125" style="256" customWidth="1"/>
    <col min="5" max="5" width="15.7109375" style="256" customWidth="1"/>
    <col min="6" max="6" width="13.85546875" style="333" customWidth="1"/>
    <col min="7" max="7" width="15.7109375" style="256" customWidth="1"/>
    <col min="8" max="8" width="22.85546875" style="256" customWidth="1"/>
    <col min="9" max="10" width="23" style="256" customWidth="1"/>
    <col min="11" max="11" width="22.28515625" style="256" customWidth="1"/>
    <col min="12" max="12" width="25.28515625" style="256" customWidth="1"/>
    <col min="13" max="13" width="23" style="256" customWidth="1"/>
    <col min="14" max="14" width="23.5703125" style="256" customWidth="1"/>
    <col min="15" max="15" width="21" style="256" customWidth="1"/>
    <col min="16" max="16" width="12.42578125" style="256" customWidth="1"/>
    <col min="17" max="16384" width="8.85546875" style="256"/>
  </cols>
  <sheetData>
    <row r="1" spans="1:16" ht="13.5" thickBot="1">
      <c r="C1" s="257"/>
      <c r="D1" s="258"/>
      <c r="E1" s="258"/>
      <c r="F1" s="259"/>
      <c r="G1" s="259"/>
      <c r="H1" s="259"/>
      <c r="I1" s="259"/>
      <c r="J1" s="259"/>
      <c r="K1" s="259"/>
      <c r="L1" s="259"/>
    </row>
    <row r="2" spans="1:16" ht="9" customHeight="1">
      <c r="A2" s="260"/>
      <c r="B2" s="261"/>
      <c r="C2" s="261"/>
      <c r="D2" s="262"/>
      <c r="E2" s="262"/>
      <c r="F2" s="263"/>
      <c r="G2" s="263"/>
      <c r="H2" s="263"/>
      <c r="I2" s="264"/>
      <c r="J2" s="264"/>
      <c r="K2" s="264"/>
      <c r="L2" s="264"/>
      <c r="M2" s="260"/>
      <c r="N2" s="260"/>
      <c r="O2" s="260"/>
    </row>
    <row r="3" spans="1:16" ht="10.5" customHeight="1">
      <c r="B3" s="257"/>
      <c r="C3" s="257"/>
      <c r="D3" s="258"/>
      <c r="E3" s="258"/>
      <c r="F3" s="259"/>
      <c r="G3" s="259"/>
      <c r="H3" s="259"/>
      <c r="I3" s="265"/>
      <c r="J3" s="265"/>
      <c r="K3" s="265"/>
      <c r="L3" s="265"/>
    </row>
    <row r="4" spans="1:16" ht="30">
      <c r="A4" s="1043" t="s">
        <v>1459</v>
      </c>
      <c r="B4" s="1020"/>
      <c r="C4" s="1020"/>
      <c r="D4" s="1020"/>
      <c r="E4" s="1020"/>
      <c r="F4" s="1020"/>
      <c r="G4" s="1020"/>
      <c r="H4" s="1020"/>
      <c r="I4" s="1020"/>
      <c r="J4" s="1020"/>
      <c r="K4" s="1020"/>
      <c r="L4" s="1020"/>
      <c r="M4" s="1020"/>
      <c r="N4" s="1020"/>
      <c r="O4" s="1020"/>
    </row>
    <row r="5" spans="1:16" s="266" customFormat="1" ht="38.25" customHeight="1">
      <c r="A5" s="1044" t="s">
        <v>1428</v>
      </c>
      <c r="B5" s="1045"/>
      <c r="C5" s="1045"/>
      <c r="D5" s="1045"/>
      <c r="E5" s="1045"/>
      <c r="F5" s="1045"/>
      <c r="G5" s="1045"/>
      <c r="H5" s="1045"/>
      <c r="I5" s="1045"/>
      <c r="J5" s="1045"/>
      <c r="K5" s="1045"/>
      <c r="L5" s="1045"/>
      <c r="M5" s="1045"/>
      <c r="N5" s="1045"/>
      <c r="O5" s="1045"/>
      <c r="P5" s="256"/>
    </row>
    <row r="6" spans="1:16" ht="9" customHeight="1" thickBot="1">
      <c r="A6" s="267"/>
      <c r="B6" s="553"/>
      <c r="C6" s="553"/>
      <c r="D6" s="554"/>
      <c r="E6" s="554"/>
      <c r="F6" s="555"/>
      <c r="G6" s="555"/>
      <c r="H6" s="555"/>
      <c r="I6" s="506"/>
      <c r="J6" s="506"/>
      <c r="K6" s="506"/>
      <c r="L6" s="506"/>
      <c r="M6" s="267"/>
      <c r="N6" s="267"/>
      <c r="O6" s="267"/>
    </row>
    <row r="7" spans="1:16">
      <c r="G7" s="333"/>
    </row>
    <row r="8" spans="1:16" s="265" customFormat="1">
      <c r="A8" s="256"/>
      <c r="B8" s="256"/>
      <c r="C8" s="256"/>
      <c r="D8" s="256"/>
      <c r="E8" s="256"/>
      <c r="F8" s="333"/>
      <c r="G8" s="333"/>
      <c r="H8" s="256"/>
      <c r="I8" s="256"/>
      <c r="J8" s="256"/>
      <c r="K8" s="256"/>
      <c r="L8" s="256"/>
      <c r="M8" s="256"/>
      <c r="N8" s="256"/>
      <c r="O8" s="256"/>
    </row>
    <row r="9" spans="1:16" s="265" customFormat="1" ht="14.25">
      <c r="B9" s="268"/>
      <c r="C9" s="268"/>
      <c r="D9" s="269"/>
      <c r="E9" s="269"/>
      <c r="F9" s="269"/>
      <c r="G9" s="269"/>
      <c r="H9" s="269"/>
      <c r="I9" s="269"/>
      <c r="J9" s="269"/>
      <c r="K9" s="269"/>
      <c r="L9" s="269"/>
    </row>
    <row r="10" spans="1:16" s="265" customFormat="1" ht="14.25">
      <c r="F10" s="1046" t="s">
        <v>0</v>
      </c>
      <c r="G10" s="1046"/>
      <c r="H10" s="1046"/>
      <c r="I10" s="1046"/>
    </row>
    <row r="11" spans="1:16" s="265" customFormat="1" ht="14.25">
      <c r="G11" s="275" t="s">
        <v>1</v>
      </c>
      <c r="H11" s="265" t="s">
        <v>1429</v>
      </c>
    </row>
    <row r="12" spans="1:16" s="265" customFormat="1" ht="14.25">
      <c r="F12" s="902"/>
      <c r="G12" s="276" t="s">
        <v>5</v>
      </c>
      <c r="H12" s="548" t="s">
        <v>6</v>
      </c>
      <c r="I12" s="548"/>
      <c r="K12" s="548"/>
      <c r="L12" s="799"/>
      <c r="M12" s="256"/>
      <c r="N12" s="256"/>
      <c r="O12" s="256"/>
    </row>
    <row r="13" spans="1:16" s="265" customFormat="1">
      <c r="F13" s="902"/>
      <c r="G13" s="270" t="s">
        <v>7</v>
      </c>
      <c r="H13" s="556">
        <v>80000</v>
      </c>
      <c r="I13" s="556"/>
      <c r="K13" s="556"/>
      <c r="L13" s="547"/>
      <c r="M13" s="256"/>
      <c r="N13" s="256"/>
      <c r="O13" s="256"/>
    </row>
    <row r="14" spans="1:16" s="265" customFormat="1">
      <c r="F14" s="902"/>
      <c r="G14" s="270" t="s">
        <v>8</v>
      </c>
      <c r="H14" s="265" t="s">
        <v>159</v>
      </c>
      <c r="L14" s="547"/>
      <c r="M14" s="256"/>
      <c r="N14" s="256"/>
      <c r="O14" s="256"/>
    </row>
    <row r="15" spans="1:16" s="265" customFormat="1" ht="14.25">
      <c r="A15" s="799"/>
      <c r="B15" s="256"/>
      <c r="C15" s="256"/>
      <c r="D15" s="256"/>
      <c r="E15" s="256"/>
      <c r="F15" s="256"/>
      <c r="G15" s="270" t="s">
        <v>10</v>
      </c>
      <c r="H15" s="265" t="s">
        <v>11</v>
      </c>
      <c r="L15" s="547"/>
      <c r="M15" s="256"/>
      <c r="N15" s="256"/>
      <c r="O15" s="256"/>
    </row>
    <row r="16" spans="1:16" s="265" customFormat="1">
      <c r="A16" s="547"/>
      <c r="B16" s="256"/>
      <c r="C16" s="256"/>
      <c r="E16" s="256"/>
      <c r="F16" s="256"/>
      <c r="G16" s="270" t="s">
        <v>185</v>
      </c>
      <c r="H16" s="265" t="s">
        <v>1430</v>
      </c>
      <c r="L16" s="547"/>
      <c r="M16" s="256"/>
      <c r="N16" s="256"/>
      <c r="O16" s="256"/>
    </row>
    <row r="17" spans="1:16" s="265" customFormat="1">
      <c r="A17" s="547"/>
      <c r="B17" s="256"/>
      <c r="C17" s="256"/>
      <c r="D17" s="903"/>
      <c r="E17" s="904"/>
      <c r="F17" s="904"/>
      <c r="G17" s="270" t="s">
        <v>14</v>
      </c>
      <c r="H17" s="265" t="s">
        <v>15</v>
      </c>
    </row>
    <row r="18" spans="1:16" s="265" customFormat="1">
      <c r="F18" s="902"/>
      <c r="G18" s="270" t="s">
        <v>16</v>
      </c>
      <c r="H18" s="265" t="s">
        <v>1431</v>
      </c>
    </row>
    <row r="19" spans="1:16" s="265" customFormat="1">
      <c r="F19" s="902"/>
      <c r="G19" s="270" t="s">
        <v>18</v>
      </c>
      <c r="H19" s="265" t="s">
        <v>19</v>
      </c>
    </row>
    <row r="20" spans="1:16" s="265" customFormat="1" ht="14.25">
      <c r="C20" s="905"/>
      <c r="F20" s="283"/>
      <c r="G20" s="270" t="s">
        <v>22</v>
      </c>
      <c r="H20" s="265" t="s">
        <v>1501</v>
      </c>
      <c r="K20" s="282"/>
    </row>
    <row r="21" spans="1:16" s="265" customFormat="1" ht="14.25">
      <c r="D21" s="277"/>
      <c r="E21" s="277"/>
      <c r="F21" s="283"/>
      <c r="G21" s="270" t="s">
        <v>24</v>
      </c>
      <c r="H21" s="265" t="s">
        <v>1461</v>
      </c>
    </row>
    <row r="22" spans="1:16" s="265" customFormat="1" ht="14.25">
      <c r="D22" s="277"/>
      <c r="E22" s="277"/>
      <c r="F22" s="283"/>
      <c r="G22" s="270" t="s">
        <v>26</v>
      </c>
      <c r="H22" s="265" t="s">
        <v>1462</v>
      </c>
    </row>
    <row r="23" spans="1:16" s="265" customFormat="1" ht="15.75" customHeight="1">
      <c r="D23" s="277"/>
      <c r="E23" s="277"/>
      <c r="F23" s="283"/>
      <c r="G23" s="270" t="s">
        <v>28</v>
      </c>
      <c r="H23" s="265" t="s">
        <v>1463</v>
      </c>
    </row>
    <row r="24" spans="1:16" s="265" customFormat="1" ht="12.75" customHeight="1">
      <c r="D24" s="277"/>
      <c r="E24" s="277"/>
      <c r="F24" s="1329"/>
      <c r="G24" s="1020"/>
    </row>
    <row r="25" spans="1:16" s="265" customFormat="1" ht="12.75" customHeight="1">
      <c r="D25" s="277"/>
      <c r="E25" s="277"/>
      <c r="F25" s="283"/>
      <c r="H25" s="270"/>
    </row>
    <row r="26" spans="1:16" s="265" customFormat="1" ht="12.75" customHeight="1">
      <c r="D26" s="277"/>
      <c r="E26" s="277"/>
      <c r="F26" s="283"/>
      <c r="H26" s="270"/>
    </row>
    <row r="27" spans="1:16" s="265" customFormat="1" ht="15" thickBot="1">
      <c r="A27" s="1111" t="s">
        <v>30</v>
      </c>
      <c r="B27" s="1033"/>
      <c r="C27" s="1033"/>
      <c r="D27" s="1033"/>
      <c r="E27" s="1033"/>
      <c r="F27" s="1033"/>
      <c r="G27" s="1033"/>
      <c r="H27" s="1033"/>
      <c r="I27" s="1033"/>
      <c r="J27" s="1033"/>
      <c r="K27" s="1033"/>
      <c r="L27" s="1033"/>
      <c r="M27" s="1033"/>
      <c r="N27" s="1033"/>
      <c r="O27" s="1033"/>
      <c r="P27" s="256"/>
    </row>
    <row r="28" spans="1:16" s="265" customFormat="1" ht="14.25">
      <c r="A28" s="1105" t="s">
        <v>1502</v>
      </c>
      <c r="B28" s="1106"/>
      <c r="C28" s="1106"/>
      <c r="D28" s="1107"/>
      <c r="E28" s="1108" t="s">
        <v>1503</v>
      </c>
      <c r="F28" s="1010"/>
      <c r="G28" s="1010"/>
      <c r="H28" s="1010"/>
      <c r="I28" s="1010"/>
      <c r="J28" s="1109"/>
      <c r="K28" s="1105" t="s">
        <v>1504</v>
      </c>
      <c r="L28" s="1010"/>
      <c r="M28" s="1010"/>
      <c r="N28" s="1010"/>
      <c r="O28" s="1109"/>
      <c r="P28" s="256"/>
    </row>
    <row r="29" spans="1:16" s="265" customFormat="1" ht="12.75" customHeight="1">
      <c r="A29" s="1028" t="s">
        <v>33</v>
      </c>
      <c r="B29" s="1029"/>
      <c r="C29" s="1029"/>
      <c r="D29" s="279" t="s">
        <v>34</v>
      </c>
      <c r="E29" s="1028" t="s">
        <v>33</v>
      </c>
      <c r="F29" s="1020"/>
      <c r="G29" s="1020"/>
      <c r="H29" s="1020"/>
      <c r="I29" s="1093" t="s">
        <v>35</v>
      </c>
      <c r="J29" s="1094"/>
      <c r="K29" s="1028" t="s">
        <v>33</v>
      </c>
      <c r="L29" s="1020"/>
      <c r="M29" s="1020"/>
      <c r="N29" s="1095" t="s">
        <v>35</v>
      </c>
      <c r="O29" s="1096"/>
    </row>
    <row r="30" spans="1:16" s="265" customFormat="1" ht="12.75" customHeight="1">
      <c r="A30" s="1028" t="s">
        <v>199</v>
      </c>
      <c r="B30" s="1029"/>
      <c r="C30" s="1029"/>
      <c r="D30" s="280">
        <v>0</v>
      </c>
      <c r="E30" s="1028" t="s">
        <v>199</v>
      </c>
      <c r="F30" s="1020"/>
      <c r="G30" s="1020"/>
      <c r="H30" s="1020"/>
      <c r="I30" s="1102">
        <v>576</v>
      </c>
      <c r="J30" s="1094"/>
      <c r="K30" s="1028" t="s">
        <v>199</v>
      </c>
      <c r="L30" s="1020"/>
      <c r="M30" s="1020"/>
      <c r="N30" s="1103">
        <v>960</v>
      </c>
      <c r="O30" s="1104"/>
      <c r="P30" s="273"/>
    </row>
    <row r="31" spans="1:16" s="265" customFormat="1" ht="12.75" customHeight="1">
      <c r="A31" s="1028" t="s">
        <v>1505</v>
      </c>
      <c r="B31" s="1029"/>
      <c r="C31" s="1029"/>
      <c r="D31" s="279" t="s">
        <v>38</v>
      </c>
      <c r="E31" s="1028" t="s">
        <v>1506</v>
      </c>
      <c r="F31" s="1020"/>
      <c r="G31" s="1020"/>
      <c r="H31" s="1020"/>
      <c r="I31" s="1093" t="s">
        <v>200</v>
      </c>
      <c r="J31" s="1094"/>
      <c r="K31" s="1028" t="s">
        <v>1506</v>
      </c>
      <c r="L31" s="1029"/>
      <c r="M31" s="1029"/>
      <c r="N31" s="1095" t="s">
        <v>201</v>
      </c>
      <c r="O31" s="1096"/>
    </row>
    <row r="32" spans="1:16" s="265" customFormat="1" ht="12.75" customHeight="1">
      <c r="A32" s="1028" t="s">
        <v>1454</v>
      </c>
      <c r="B32" s="1029"/>
      <c r="C32" s="1029"/>
      <c r="D32" s="279" t="s">
        <v>1455</v>
      </c>
      <c r="E32" s="1028" t="s">
        <v>1507</v>
      </c>
      <c r="F32" s="1020"/>
      <c r="G32" s="1020"/>
      <c r="H32" s="1020"/>
      <c r="I32" s="1093" t="s">
        <v>284</v>
      </c>
      <c r="J32" s="1094"/>
      <c r="K32" s="1028" t="s">
        <v>1439</v>
      </c>
      <c r="L32" s="1020"/>
      <c r="M32" s="1020"/>
      <c r="N32" s="1095" t="s">
        <v>1466</v>
      </c>
      <c r="O32" s="1096"/>
    </row>
    <row r="33" spans="1:16" s="265" customFormat="1" ht="12.75" customHeight="1">
      <c r="A33" s="1333" t="s">
        <v>1508</v>
      </c>
      <c r="B33" s="1343"/>
      <c r="C33" s="1343"/>
      <c r="D33" s="909" t="s">
        <v>38</v>
      </c>
      <c r="E33" s="1333" t="s">
        <v>1508</v>
      </c>
      <c r="F33" s="1334"/>
      <c r="G33" s="1334"/>
      <c r="H33" s="1334"/>
      <c r="I33" s="1352" t="s">
        <v>38</v>
      </c>
      <c r="J33" s="1353"/>
      <c r="K33" s="1333" t="s">
        <v>1508</v>
      </c>
      <c r="L33" s="1343"/>
      <c r="M33" s="1343"/>
      <c r="N33" s="1348" t="s">
        <v>38</v>
      </c>
      <c r="O33" s="1349"/>
    </row>
    <row r="34" spans="1:16" s="265" customFormat="1" ht="12.75" customHeight="1">
      <c r="A34" s="1333" t="s">
        <v>1440</v>
      </c>
      <c r="B34" s="1343"/>
      <c r="C34" s="1343"/>
      <c r="D34" s="906" t="s">
        <v>1467</v>
      </c>
      <c r="E34" s="1333" t="s">
        <v>1440</v>
      </c>
      <c r="F34" s="1334"/>
      <c r="G34" s="1334"/>
      <c r="H34" s="1334"/>
      <c r="I34" s="1334" t="s">
        <v>1467</v>
      </c>
      <c r="J34" s="1335"/>
      <c r="K34" s="1333" t="s">
        <v>1440</v>
      </c>
      <c r="L34" s="1343"/>
      <c r="M34" s="1343"/>
      <c r="N34" s="1348" t="s">
        <v>1467</v>
      </c>
      <c r="O34" s="1349"/>
    </row>
    <row r="35" spans="1:16" s="265" customFormat="1" ht="12.75" customHeight="1">
      <c r="A35" s="1333" t="s">
        <v>1442</v>
      </c>
      <c r="B35" s="1343"/>
      <c r="C35" s="1343"/>
      <c r="D35" s="906" t="s">
        <v>1468</v>
      </c>
      <c r="E35" s="1333" t="s">
        <v>1442</v>
      </c>
      <c r="F35" s="1334"/>
      <c r="G35" s="1334"/>
      <c r="H35" s="1334"/>
      <c r="I35" s="1334" t="s">
        <v>1468</v>
      </c>
      <c r="J35" s="1335"/>
      <c r="K35" s="1333" t="s">
        <v>1442</v>
      </c>
      <c r="L35" s="1343"/>
      <c r="M35" s="1343"/>
      <c r="N35" s="1348" t="s">
        <v>1468</v>
      </c>
      <c r="O35" s="1349"/>
    </row>
    <row r="36" spans="1:16" s="265" customFormat="1" ht="12.75" customHeight="1" thickBot="1">
      <c r="A36" s="1336" t="s">
        <v>1444</v>
      </c>
      <c r="B36" s="1337"/>
      <c r="C36" s="1337"/>
      <c r="D36" s="908" t="s">
        <v>1469</v>
      </c>
      <c r="E36" s="1336" t="s">
        <v>1444</v>
      </c>
      <c r="F36" s="1338"/>
      <c r="G36" s="1338"/>
      <c r="H36" s="1338"/>
      <c r="I36" s="1338" t="s">
        <v>1469</v>
      </c>
      <c r="J36" s="1339"/>
      <c r="K36" s="1336" t="s">
        <v>1444</v>
      </c>
      <c r="L36" s="1337"/>
      <c r="M36" s="1337"/>
      <c r="N36" s="1350" t="s">
        <v>1469</v>
      </c>
      <c r="O36" s="1351"/>
    </row>
    <row r="37" spans="1:16" s="265" customFormat="1" ht="12.75" customHeight="1">
      <c r="D37" s="277"/>
      <c r="E37" s="277"/>
      <c r="F37" s="283"/>
      <c r="H37" s="270"/>
    </row>
    <row r="38" spans="1:16" s="265" customFormat="1" ht="12.75" customHeight="1">
      <c r="C38" s="577"/>
      <c r="D38" s="277"/>
      <c r="E38" s="277"/>
      <c r="F38" s="283"/>
      <c r="G38" s="283"/>
      <c r="H38" s="283"/>
      <c r="I38" s="578"/>
      <c r="J38" s="578"/>
      <c r="K38" s="578"/>
      <c r="L38" s="447"/>
    </row>
    <row r="39" spans="1:16" s="265" customFormat="1" ht="12.75" customHeight="1">
      <c r="A39" s="1038"/>
      <c r="B39" s="1020"/>
      <c r="C39" s="1020"/>
      <c r="D39" s="1020"/>
      <c r="E39" s="277"/>
      <c r="F39" s="283"/>
      <c r="G39" s="283"/>
      <c r="H39" s="283"/>
      <c r="I39" s="578"/>
      <c r="J39" s="578"/>
      <c r="K39" s="578"/>
      <c r="L39" s="447">
        <f>F39*0.025656</f>
        <v>0</v>
      </c>
    </row>
    <row r="40" spans="1:16" s="265" customFormat="1" ht="12.75" customHeight="1">
      <c r="A40" s="1029"/>
      <c r="B40" s="1020"/>
      <c r="C40" s="1020"/>
      <c r="E40" s="277"/>
      <c r="F40" s="283"/>
      <c r="G40" s="283"/>
      <c r="H40" s="283"/>
      <c r="I40" s="578"/>
      <c r="J40" s="578"/>
      <c r="K40" s="578"/>
      <c r="L40" s="447"/>
    </row>
    <row r="41" spans="1:16" s="265" customFormat="1" ht="12.75" customHeight="1" thickBot="1">
      <c r="A41" s="1029"/>
      <c r="B41" s="1020"/>
      <c r="C41" s="1020"/>
      <c r="E41" s="277"/>
      <c r="F41" s="283"/>
      <c r="G41" s="288"/>
      <c r="I41" s="288"/>
      <c r="J41" s="288"/>
      <c r="K41" s="288"/>
      <c r="L41" s="288"/>
    </row>
    <row r="42" spans="1:16" s="265" customFormat="1" ht="15.75" customHeight="1" thickBot="1">
      <c r="A42" s="1032"/>
      <c r="B42" s="1033"/>
      <c r="C42" s="1033"/>
      <c r="D42" s="576"/>
      <c r="F42" s="1063" t="s">
        <v>43</v>
      </c>
      <c r="G42" s="1101"/>
      <c r="H42" s="1022"/>
      <c r="I42" s="1023" t="s">
        <v>44</v>
      </c>
      <c r="J42" s="1003"/>
      <c r="K42" s="1003"/>
      <c r="L42" s="1003"/>
      <c r="M42" s="1003"/>
      <c r="N42" s="1003"/>
      <c r="O42" s="1025"/>
      <c r="P42" s="256"/>
    </row>
    <row r="43" spans="1:16" s="291" customFormat="1" ht="58.5" customHeight="1" thickBot="1">
      <c r="A43" s="289" t="s">
        <v>45</v>
      </c>
      <c r="B43" s="289" t="s">
        <v>46</v>
      </c>
      <c r="C43" s="579" t="s">
        <v>47</v>
      </c>
      <c r="D43" s="290" t="s">
        <v>48</v>
      </c>
      <c r="E43" s="290" t="s">
        <v>49</v>
      </c>
      <c r="F43" s="290" t="s">
        <v>50</v>
      </c>
      <c r="G43" s="289" t="s">
        <v>51</v>
      </c>
      <c r="H43" s="290" t="s">
        <v>52</v>
      </c>
      <c r="I43" s="289" t="s">
        <v>51</v>
      </c>
      <c r="J43" s="290" t="s">
        <v>53</v>
      </c>
      <c r="K43" s="289" t="s">
        <v>51</v>
      </c>
      <c r="L43" s="290" t="s">
        <v>54</v>
      </c>
      <c r="M43" s="289" t="s">
        <v>51</v>
      </c>
      <c r="N43" s="290" t="s">
        <v>55</v>
      </c>
      <c r="O43" s="289" t="s">
        <v>51</v>
      </c>
    </row>
    <row r="44" spans="1:16" s="557" customFormat="1" ht="29.25" customHeight="1" thickBot="1">
      <c r="A44" s="1089">
        <v>56</v>
      </c>
      <c r="B44" s="1089"/>
      <c r="C44" s="550" t="s">
        <v>1471</v>
      </c>
      <c r="D44" s="559" t="s">
        <v>1472</v>
      </c>
      <c r="E44" s="560">
        <v>5540.81</v>
      </c>
      <c r="F44" s="30">
        <f>SUM(E44,,E45)*(1-60%)</f>
        <v>2246.3240000000001</v>
      </c>
      <c r="G44" s="1011">
        <f>F44*B44</f>
        <v>0</v>
      </c>
      <c r="H44" s="30">
        <f>F44*0.0832</f>
        <v>186.89415679999999</v>
      </c>
      <c r="I44" s="1011">
        <f>H44*B44</f>
        <v>0</v>
      </c>
      <c r="J44" s="30">
        <f>F44*0.0313</f>
        <v>70.309941200000011</v>
      </c>
      <c r="K44" s="1011">
        <f>J44*B44</f>
        <v>0</v>
      </c>
      <c r="L44" s="30">
        <f>F44*0.0256</f>
        <v>57.505894400000003</v>
      </c>
      <c r="M44" s="1011">
        <f>L44*B44</f>
        <v>0</v>
      </c>
      <c r="N44" s="30">
        <f>F44*0.0213</f>
        <v>47.846701199999998</v>
      </c>
      <c r="O44" s="1011">
        <f>N44*B44</f>
        <v>0</v>
      </c>
      <c r="P44" s="561"/>
    </row>
    <row r="45" spans="1:16" s="519" customFormat="1" ht="13.5" thickBot="1">
      <c r="A45" s="1090"/>
      <c r="B45" s="1090"/>
      <c r="C45" s="544" t="s">
        <v>56</v>
      </c>
      <c r="D45" s="575" t="s">
        <v>57</v>
      </c>
      <c r="E45" s="491">
        <v>75</v>
      </c>
      <c r="F45" s="300" t="s">
        <v>35</v>
      </c>
      <c r="G45" s="1092"/>
      <c r="H45" s="301" t="s">
        <v>35</v>
      </c>
      <c r="I45" s="1092"/>
      <c r="J45" s="301" t="s">
        <v>35</v>
      </c>
      <c r="K45" s="1092"/>
      <c r="L45" s="301" t="s">
        <v>35</v>
      </c>
      <c r="M45" s="1092"/>
      <c r="N45" s="301" t="s">
        <v>35</v>
      </c>
      <c r="O45" s="1092"/>
    </row>
    <row r="46" spans="1:16" s="519" customFormat="1" ht="13.5" thickBot="1">
      <c r="A46" s="563"/>
      <c r="B46" s="308"/>
      <c r="C46" s="545"/>
      <c r="D46" s="537"/>
      <c r="E46" s="564"/>
      <c r="F46" s="33"/>
      <c r="G46" s="34"/>
      <c r="H46" s="36"/>
      <c r="I46" s="34"/>
      <c r="J46" s="36"/>
      <c r="K46" s="35"/>
      <c r="L46" s="36"/>
      <c r="M46" s="34"/>
      <c r="N46" s="36"/>
      <c r="O46" s="35"/>
    </row>
    <row r="47" spans="1:16" s="557" customFormat="1" ht="29.25" customHeight="1" thickBot="1">
      <c r="A47" s="1089" t="s">
        <v>1509</v>
      </c>
      <c r="B47" s="1089"/>
      <c r="C47" s="550" t="s">
        <v>1471</v>
      </c>
      <c r="D47" s="559" t="s">
        <v>1472</v>
      </c>
      <c r="E47" s="560">
        <v>5540.81</v>
      </c>
      <c r="F47" s="30">
        <f>SUM(E47,,E48)*(1-60%)</f>
        <v>2246.3240000000001</v>
      </c>
      <c r="G47" s="1011">
        <f>F47*B47</f>
        <v>0</v>
      </c>
      <c r="H47" s="30">
        <f>F47*0.0832+I30/12</f>
        <v>234.89415679999999</v>
      </c>
      <c r="I47" s="1011">
        <f>H47*B47</f>
        <v>0</v>
      </c>
      <c r="J47" s="30">
        <f>F47*0.0313+I30/12</f>
        <v>118.30994120000001</v>
      </c>
      <c r="K47" s="1011">
        <f>J47*B47</f>
        <v>0</v>
      </c>
      <c r="L47" s="30">
        <f>F47*0.0256+I30/12</f>
        <v>105.5058944</v>
      </c>
      <c r="M47" s="1011">
        <f>L47*B47</f>
        <v>0</v>
      </c>
      <c r="N47" s="30">
        <f>F47*0.0213+I30/12</f>
        <v>95.846701199999998</v>
      </c>
      <c r="O47" s="1011">
        <f>N47*B47</f>
        <v>0</v>
      </c>
      <c r="P47" s="561"/>
    </row>
    <row r="48" spans="1:16" s="519" customFormat="1" ht="13.5" thickBot="1">
      <c r="A48" s="1090"/>
      <c r="B48" s="1090"/>
      <c r="C48" s="544" t="s">
        <v>56</v>
      </c>
      <c r="D48" s="575" t="s">
        <v>57</v>
      </c>
      <c r="E48" s="491">
        <v>75</v>
      </c>
      <c r="F48" s="31" t="s">
        <v>35</v>
      </c>
      <c r="G48" s="1092"/>
      <c r="H48" s="32" t="s">
        <v>35</v>
      </c>
      <c r="I48" s="1092"/>
      <c r="J48" s="32" t="s">
        <v>35</v>
      </c>
      <c r="K48" s="1092"/>
      <c r="L48" s="32" t="s">
        <v>35</v>
      </c>
      <c r="M48" s="1092"/>
      <c r="N48" s="32" t="s">
        <v>35</v>
      </c>
      <c r="O48" s="1092"/>
    </row>
    <row r="49" spans="1:16" s="519" customFormat="1" ht="13.5" thickBot="1">
      <c r="A49" s="563"/>
      <c r="B49" s="308"/>
      <c r="C49" s="545"/>
      <c r="D49" s="537"/>
      <c r="E49" s="564"/>
      <c r="F49" s="33"/>
      <c r="G49" s="34"/>
      <c r="H49" s="36"/>
      <c r="I49" s="34"/>
      <c r="J49" s="36"/>
      <c r="K49" s="35"/>
      <c r="L49" s="36"/>
      <c r="M49" s="34"/>
      <c r="N49" s="36"/>
      <c r="O49" s="35"/>
    </row>
    <row r="50" spans="1:16" s="557" customFormat="1" ht="29.25" customHeight="1" thickBot="1">
      <c r="A50" s="1089" t="s">
        <v>1510</v>
      </c>
      <c r="B50" s="1089"/>
      <c r="C50" s="550" t="s">
        <v>1471</v>
      </c>
      <c r="D50" s="559" t="s">
        <v>1472</v>
      </c>
      <c r="E50" s="560">
        <v>5540.81</v>
      </c>
      <c r="F50" s="30">
        <f>SUM(E50,,E51)*(1-60%)</f>
        <v>2246.3240000000001</v>
      </c>
      <c r="G50" s="1011">
        <f>F50*B50</f>
        <v>0</v>
      </c>
      <c r="H50" s="30">
        <f>F50*0.0832+N30/12</f>
        <v>266.89415680000002</v>
      </c>
      <c r="I50" s="1011">
        <f>H50*B50</f>
        <v>0</v>
      </c>
      <c r="J50" s="30">
        <f>F50*0.0313+N30/12</f>
        <v>150.30994120000003</v>
      </c>
      <c r="K50" s="1011">
        <f>J50*B50</f>
        <v>0</v>
      </c>
      <c r="L50" s="30">
        <f>F50*0.0256+N30/12</f>
        <v>137.50589439999999</v>
      </c>
      <c r="M50" s="1011">
        <f>L50*B50</f>
        <v>0</v>
      </c>
      <c r="N50" s="30">
        <f>F50*0.0213+N30/12</f>
        <v>127.8467012</v>
      </c>
      <c r="O50" s="1011">
        <f>N50*B50</f>
        <v>0</v>
      </c>
      <c r="P50" s="561"/>
    </row>
    <row r="51" spans="1:16" s="519" customFormat="1" ht="13.5" thickBot="1">
      <c r="A51" s="1091"/>
      <c r="B51" s="1091"/>
      <c r="C51" s="544" t="s">
        <v>56</v>
      </c>
      <c r="D51" s="575" t="s">
        <v>57</v>
      </c>
      <c r="E51" s="491">
        <v>75</v>
      </c>
      <c r="F51" s="300" t="s">
        <v>35</v>
      </c>
      <c r="G51" s="1084"/>
      <c r="H51" s="448" t="s">
        <v>35</v>
      </c>
      <c r="I51" s="1084"/>
      <c r="J51" s="448" t="s">
        <v>35</v>
      </c>
      <c r="K51" s="1084"/>
      <c r="L51" s="448" t="s">
        <v>35</v>
      </c>
      <c r="M51" s="1084"/>
      <c r="N51" s="448" t="s">
        <v>35</v>
      </c>
      <c r="O51" s="1084"/>
    </row>
    <row r="52" spans="1:16" s="519" customFormat="1" ht="13.5" customHeight="1" thickBot="1">
      <c r="A52" s="1002" t="s">
        <v>59</v>
      </c>
      <c r="B52" s="1003"/>
      <c r="C52" s="1003"/>
      <c r="D52" s="1003"/>
      <c r="E52" s="1003"/>
      <c r="F52" s="1003"/>
      <c r="G52" s="1003"/>
      <c r="H52" s="1003"/>
      <c r="I52" s="1003"/>
      <c r="J52" s="1003"/>
      <c r="K52" s="1003"/>
      <c r="L52" s="1003"/>
      <c r="M52" s="1003"/>
      <c r="N52" s="1003"/>
      <c r="O52" s="1025"/>
    </row>
    <row r="53" spans="1:16" s="291" customFormat="1" ht="22.5" customHeight="1" thickBot="1">
      <c r="A53" s="1085"/>
      <c r="B53" s="583"/>
      <c r="C53" s="297" t="s">
        <v>799</v>
      </c>
      <c r="D53" s="298" t="s">
        <v>1474</v>
      </c>
      <c r="E53" s="326">
        <v>868.9</v>
      </c>
      <c r="F53" s="38">
        <f t="shared" ref="F53:F68" si="0">E53*(1-40%)</f>
        <v>521.33999999999992</v>
      </c>
      <c r="G53" s="397">
        <f t="shared" ref="G53:G68" si="1">F53*B53</f>
        <v>0</v>
      </c>
      <c r="H53" s="397">
        <f t="shared" ref="H53:H68" si="2">F53*0.0832</f>
        <v>43.37548799999999</v>
      </c>
      <c r="I53" s="397">
        <f t="shared" ref="I53:I68" si="3">H53*B53</f>
        <v>0</v>
      </c>
      <c r="J53" s="397">
        <f t="shared" ref="J53:J68" si="4">F53*0.0313</f>
        <v>16.317941999999999</v>
      </c>
      <c r="K53" s="397">
        <f t="shared" ref="K53:K68" si="5">J53*B53</f>
        <v>0</v>
      </c>
      <c r="L53" s="397">
        <f t="shared" ref="L53:L68" si="6">F53*0.0256</f>
        <v>13.346303999999998</v>
      </c>
      <c r="M53" s="397">
        <f t="shared" ref="M53:M68" si="7">L53*B53</f>
        <v>0</v>
      </c>
      <c r="N53" s="397">
        <f t="shared" ref="N53:N68" si="8">F53*0.0213</f>
        <v>11.104541999999999</v>
      </c>
      <c r="O53" s="397">
        <f t="shared" ref="O53:O68" si="9">N53*B53</f>
        <v>0</v>
      </c>
    </row>
    <row r="54" spans="1:16" s="291" customFormat="1" ht="22.5" customHeight="1" thickBot="1">
      <c r="A54" s="1086"/>
      <c r="B54" s="583"/>
      <c r="C54" s="297" t="s">
        <v>1475</v>
      </c>
      <c r="D54" s="298" t="s">
        <v>1476</v>
      </c>
      <c r="E54" s="326">
        <v>471.1</v>
      </c>
      <c r="F54" s="38">
        <f t="shared" si="0"/>
        <v>282.66000000000003</v>
      </c>
      <c r="G54" s="396">
        <f t="shared" si="1"/>
        <v>0</v>
      </c>
      <c r="H54" s="397">
        <f t="shared" si="2"/>
        <v>23.517312</v>
      </c>
      <c r="I54" s="397">
        <f t="shared" si="3"/>
        <v>0</v>
      </c>
      <c r="J54" s="397">
        <f t="shared" si="4"/>
        <v>8.8472580000000018</v>
      </c>
      <c r="K54" s="397">
        <f t="shared" si="5"/>
        <v>0</v>
      </c>
      <c r="L54" s="397">
        <f t="shared" si="6"/>
        <v>7.2360960000000007</v>
      </c>
      <c r="M54" s="397">
        <f t="shared" si="7"/>
        <v>0</v>
      </c>
      <c r="N54" s="397">
        <f t="shared" si="8"/>
        <v>6.0206580000000001</v>
      </c>
      <c r="O54" s="397">
        <f t="shared" si="9"/>
        <v>0</v>
      </c>
    </row>
    <row r="55" spans="1:16" s="291" customFormat="1" ht="22.5" customHeight="1" thickBot="1">
      <c r="A55" s="1086"/>
      <c r="B55" s="583"/>
      <c r="C55" s="297" t="s">
        <v>811</v>
      </c>
      <c r="D55" s="298" t="s">
        <v>1477</v>
      </c>
      <c r="E55" s="326">
        <v>85.77</v>
      </c>
      <c r="F55" s="38">
        <f>E55*(1-40%)</f>
        <v>51.461999999999996</v>
      </c>
      <c r="G55" s="396">
        <f>F55*B55</f>
        <v>0</v>
      </c>
      <c r="H55" s="397">
        <f t="shared" si="2"/>
        <v>4.2816383999999994</v>
      </c>
      <c r="I55" s="397">
        <f>H55*B55</f>
        <v>0</v>
      </c>
      <c r="J55" s="397">
        <f t="shared" si="4"/>
        <v>1.6107605999999999</v>
      </c>
      <c r="K55" s="397">
        <f>J55*B55</f>
        <v>0</v>
      </c>
      <c r="L55" s="397">
        <f t="shared" si="6"/>
        <v>1.3174272</v>
      </c>
      <c r="M55" s="397">
        <f>L55*B55</f>
        <v>0</v>
      </c>
      <c r="N55" s="397">
        <f t="shared" si="8"/>
        <v>1.0961405999999998</v>
      </c>
      <c r="O55" s="397">
        <f>N55*B55</f>
        <v>0</v>
      </c>
    </row>
    <row r="56" spans="1:16" s="291" customFormat="1" ht="22.5" customHeight="1" thickBot="1">
      <c r="A56" s="1086"/>
      <c r="B56" s="583"/>
      <c r="C56" s="297" t="s">
        <v>811</v>
      </c>
      <c r="D56" s="298" t="s">
        <v>1478</v>
      </c>
      <c r="E56" s="326">
        <v>85.77</v>
      </c>
      <c r="F56" s="38">
        <f>E56*(1-40%)</f>
        <v>51.461999999999996</v>
      </c>
      <c r="G56" s="396">
        <f>F56*B56</f>
        <v>0</v>
      </c>
      <c r="H56" s="397">
        <f t="shared" si="2"/>
        <v>4.2816383999999994</v>
      </c>
      <c r="I56" s="397">
        <f>H56*B56</f>
        <v>0</v>
      </c>
      <c r="J56" s="397">
        <f t="shared" si="4"/>
        <v>1.6107605999999999</v>
      </c>
      <c r="K56" s="397">
        <f>J56*B56</f>
        <v>0</v>
      </c>
      <c r="L56" s="397">
        <f t="shared" si="6"/>
        <v>1.3174272</v>
      </c>
      <c r="M56" s="397">
        <f>L56*B56</f>
        <v>0</v>
      </c>
      <c r="N56" s="397">
        <f t="shared" si="8"/>
        <v>1.0961405999999998</v>
      </c>
      <c r="O56" s="397">
        <f>N56*B56</f>
        <v>0</v>
      </c>
    </row>
    <row r="57" spans="1:16" s="291" customFormat="1" ht="22.5" customHeight="1" thickBot="1">
      <c r="A57" s="1086"/>
      <c r="B57" s="583"/>
      <c r="C57" s="297" t="s">
        <v>809</v>
      </c>
      <c r="D57" s="298" t="s">
        <v>1479</v>
      </c>
      <c r="E57" s="326">
        <v>50.42</v>
      </c>
      <c r="F57" s="38">
        <f>E57*(1-40%)</f>
        <v>30.251999999999999</v>
      </c>
      <c r="G57" s="396">
        <f>F57*B57</f>
        <v>0</v>
      </c>
      <c r="H57" s="397">
        <f t="shared" si="2"/>
        <v>2.5169663999999998</v>
      </c>
      <c r="I57" s="397">
        <f>H57*B57</f>
        <v>0</v>
      </c>
      <c r="J57" s="397">
        <f t="shared" si="4"/>
        <v>0.94688760000000005</v>
      </c>
      <c r="K57" s="397">
        <f>J57*B57</f>
        <v>0</v>
      </c>
      <c r="L57" s="397">
        <f t="shared" si="6"/>
        <v>0.77445120000000001</v>
      </c>
      <c r="M57" s="397">
        <f>L57*B57</f>
        <v>0</v>
      </c>
      <c r="N57" s="397">
        <f t="shared" si="8"/>
        <v>0.64436759999999993</v>
      </c>
      <c r="O57" s="397">
        <f>N57*B57</f>
        <v>0</v>
      </c>
    </row>
    <row r="58" spans="1:16" s="291" customFormat="1" ht="22.5" customHeight="1" thickBot="1">
      <c r="A58" s="1086"/>
      <c r="B58" s="583"/>
      <c r="C58" s="297" t="s">
        <v>1480</v>
      </c>
      <c r="D58" s="298" t="s">
        <v>1481</v>
      </c>
      <c r="E58" s="326">
        <v>137.94</v>
      </c>
      <c r="F58" s="38">
        <f>E58*(1-40%)</f>
        <v>82.763999999999996</v>
      </c>
      <c r="G58" s="396">
        <f>F58*B58</f>
        <v>0</v>
      </c>
      <c r="H58" s="397">
        <f t="shared" si="2"/>
        <v>6.8859647999999991</v>
      </c>
      <c r="I58" s="397">
        <f>H58*B58</f>
        <v>0</v>
      </c>
      <c r="J58" s="397">
        <f t="shared" si="4"/>
        <v>2.5905132000000002</v>
      </c>
      <c r="K58" s="397">
        <f>J58*B58</f>
        <v>0</v>
      </c>
      <c r="L58" s="397">
        <f t="shared" si="6"/>
        <v>2.1187583999999999</v>
      </c>
      <c r="M58" s="397">
        <f>L58*B58</f>
        <v>0</v>
      </c>
      <c r="N58" s="397">
        <f t="shared" si="8"/>
        <v>1.7628731999999998</v>
      </c>
      <c r="O58" s="397">
        <f>N58*B58</f>
        <v>0</v>
      </c>
    </row>
    <row r="59" spans="1:16" s="291" customFormat="1" ht="22.5" customHeight="1" thickBot="1">
      <c r="A59" s="1086"/>
      <c r="B59" s="583"/>
      <c r="C59" s="297" t="s">
        <v>1482</v>
      </c>
      <c r="D59" s="298" t="s">
        <v>1483</v>
      </c>
      <c r="E59" s="326">
        <v>371.67</v>
      </c>
      <c r="F59" s="38">
        <f>E59*(1-40%)</f>
        <v>223.00200000000001</v>
      </c>
      <c r="G59" s="396">
        <f>F59*B59</f>
        <v>0</v>
      </c>
      <c r="H59" s="397">
        <f t="shared" si="2"/>
        <v>18.553766400000001</v>
      </c>
      <c r="I59" s="397">
        <f>H59*B59</f>
        <v>0</v>
      </c>
      <c r="J59" s="397">
        <f t="shared" si="4"/>
        <v>6.9799626000000004</v>
      </c>
      <c r="K59" s="397">
        <f>J59*B59</f>
        <v>0</v>
      </c>
      <c r="L59" s="397">
        <f t="shared" si="6"/>
        <v>5.7088512000000007</v>
      </c>
      <c r="M59" s="397">
        <f>L59*B59</f>
        <v>0</v>
      </c>
      <c r="N59" s="397">
        <f t="shared" si="8"/>
        <v>4.7499425999999998</v>
      </c>
      <c r="O59" s="397">
        <f>N59*B59</f>
        <v>0</v>
      </c>
    </row>
    <row r="60" spans="1:16" s="315" customFormat="1" ht="22.5" customHeight="1" thickBot="1">
      <c r="A60" s="1086"/>
      <c r="B60" s="319"/>
      <c r="C60" s="297" t="s">
        <v>1484</v>
      </c>
      <c r="D60" s="298" t="s">
        <v>1485</v>
      </c>
      <c r="E60" s="326">
        <v>135.49</v>
      </c>
      <c r="F60" s="38">
        <f t="shared" si="0"/>
        <v>81.293999999999997</v>
      </c>
      <c r="G60" s="396">
        <f t="shared" si="1"/>
        <v>0</v>
      </c>
      <c r="H60" s="397">
        <f t="shared" si="2"/>
        <v>6.7636607999999994</v>
      </c>
      <c r="I60" s="397">
        <f t="shared" si="3"/>
        <v>0</v>
      </c>
      <c r="J60" s="397">
        <f t="shared" si="4"/>
        <v>2.5445022000000002</v>
      </c>
      <c r="K60" s="397">
        <f t="shared" si="5"/>
        <v>0</v>
      </c>
      <c r="L60" s="397">
        <f t="shared" si="6"/>
        <v>2.0811264</v>
      </c>
      <c r="M60" s="397">
        <f t="shared" si="7"/>
        <v>0</v>
      </c>
      <c r="N60" s="397">
        <f t="shared" si="8"/>
        <v>1.7315621999999999</v>
      </c>
      <c r="O60" s="397">
        <f t="shared" si="9"/>
        <v>0</v>
      </c>
    </row>
    <row r="61" spans="1:16" s="519" customFormat="1" ht="22.5" customHeight="1" thickBot="1">
      <c r="A61" s="1086"/>
      <c r="B61" s="585"/>
      <c r="C61" s="297" t="s">
        <v>1486</v>
      </c>
      <c r="D61" s="298" t="s">
        <v>1487</v>
      </c>
      <c r="E61" s="326">
        <v>147.91999999999999</v>
      </c>
      <c r="F61" s="38">
        <f t="shared" si="0"/>
        <v>88.751999999999995</v>
      </c>
      <c r="G61" s="396">
        <f t="shared" si="1"/>
        <v>0</v>
      </c>
      <c r="H61" s="397">
        <f t="shared" si="2"/>
        <v>7.3841663999999989</v>
      </c>
      <c r="I61" s="397">
        <f t="shared" si="3"/>
        <v>0</v>
      </c>
      <c r="J61" s="397">
        <f t="shared" si="4"/>
        <v>2.7779376</v>
      </c>
      <c r="K61" s="397">
        <f t="shared" si="5"/>
        <v>0</v>
      </c>
      <c r="L61" s="397">
        <f t="shared" si="6"/>
        <v>2.2720511999999999</v>
      </c>
      <c r="M61" s="397">
        <f t="shared" si="7"/>
        <v>0</v>
      </c>
      <c r="N61" s="397">
        <f t="shared" si="8"/>
        <v>1.8904175999999999</v>
      </c>
      <c r="O61" s="397">
        <f t="shared" si="9"/>
        <v>0</v>
      </c>
    </row>
    <row r="62" spans="1:16" s="519" customFormat="1" ht="22.5" customHeight="1" thickBot="1">
      <c r="A62" s="1086"/>
      <c r="B62" s="585"/>
      <c r="C62" s="455" t="s">
        <v>1488</v>
      </c>
      <c r="D62" s="298" t="s">
        <v>1489</v>
      </c>
      <c r="E62" s="326">
        <v>140.26</v>
      </c>
      <c r="F62" s="38">
        <f t="shared" si="0"/>
        <v>84.155999999999992</v>
      </c>
      <c r="G62" s="396">
        <f t="shared" si="1"/>
        <v>0</v>
      </c>
      <c r="H62" s="397">
        <f t="shared" si="2"/>
        <v>7.0017791999999988</v>
      </c>
      <c r="I62" s="397">
        <f t="shared" si="3"/>
        <v>0</v>
      </c>
      <c r="J62" s="397">
        <f t="shared" si="4"/>
        <v>2.6340827999999998</v>
      </c>
      <c r="K62" s="397">
        <f t="shared" si="5"/>
        <v>0</v>
      </c>
      <c r="L62" s="397">
        <f t="shared" si="6"/>
        <v>2.1543935999999997</v>
      </c>
      <c r="M62" s="397">
        <f t="shared" si="7"/>
        <v>0</v>
      </c>
      <c r="N62" s="397">
        <f t="shared" si="8"/>
        <v>1.7925227999999997</v>
      </c>
      <c r="O62" s="397">
        <f t="shared" si="9"/>
        <v>0</v>
      </c>
    </row>
    <row r="63" spans="1:16" s="524" customFormat="1" ht="22.5" customHeight="1" thickBot="1">
      <c r="A63" s="1086"/>
      <c r="B63" s="585"/>
      <c r="C63" s="297" t="s">
        <v>1490</v>
      </c>
      <c r="D63" s="298" t="s">
        <v>1491</v>
      </c>
      <c r="E63" s="326">
        <v>444.98</v>
      </c>
      <c r="F63" s="38">
        <f t="shared" si="0"/>
        <v>266.988</v>
      </c>
      <c r="G63" s="396">
        <f t="shared" si="1"/>
        <v>0</v>
      </c>
      <c r="H63" s="397">
        <f t="shared" si="2"/>
        <v>22.213401599999997</v>
      </c>
      <c r="I63" s="397">
        <f t="shared" si="3"/>
        <v>0</v>
      </c>
      <c r="J63" s="397">
        <f t="shared" si="4"/>
        <v>8.3567244000000009</v>
      </c>
      <c r="K63" s="397">
        <f t="shared" si="5"/>
        <v>0</v>
      </c>
      <c r="L63" s="397">
        <f t="shared" si="6"/>
        <v>6.8348928000000004</v>
      </c>
      <c r="M63" s="397">
        <f t="shared" si="7"/>
        <v>0</v>
      </c>
      <c r="N63" s="397">
        <f t="shared" si="8"/>
        <v>5.6868444</v>
      </c>
      <c r="O63" s="397">
        <f t="shared" si="9"/>
        <v>0</v>
      </c>
    </row>
    <row r="64" spans="1:16" s="519" customFormat="1" ht="22.5" customHeight="1" thickBot="1">
      <c r="A64" s="1086"/>
      <c r="B64" s="585"/>
      <c r="C64" s="297" t="s">
        <v>1492</v>
      </c>
      <c r="D64" s="298" t="s">
        <v>1493</v>
      </c>
      <c r="E64" s="326">
        <v>622.98</v>
      </c>
      <c r="F64" s="38">
        <f t="shared" si="0"/>
        <v>373.78800000000001</v>
      </c>
      <c r="G64" s="396">
        <f t="shared" si="1"/>
        <v>0</v>
      </c>
      <c r="H64" s="397">
        <f t="shared" si="2"/>
        <v>31.099161599999999</v>
      </c>
      <c r="I64" s="397">
        <f t="shared" si="3"/>
        <v>0</v>
      </c>
      <c r="J64" s="397">
        <f t="shared" si="4"/>
        <v>11.699564400000002</v>
      </c>
      <c r="K64" s="397">
        <f t="shared" si="5"/>
        <v>0</v>
      </c>
      <c r="L64" s="397">
        <f t="shared" si="6"/>
        <v>9.5689728000000009</v>
      </c>
      <c r="M64" s="397">
        <f t="shared" si="7"/>
        <v>0</v>
      </c>
      <c r="N64" s="397">
        <f t="shared" si="8"/>
        <v>7.9616844000000002</v>
      </c>
      <c r="O64" s="397">
        <f t="shared" si="9"/>
        <v>0</v>
      </c>
    </row>
    <row r="65" spans="1:15" s="315" customFormat="1" ht="22.5" customHeight="1" thickBot="1">
      <c r="A65" s="1086"/>
      <c r="B65" s="319"/>
      <c r="C65" s="297" t="s">
        <v>1492</v>
      </c>
      <c r="D65" s="298" t="s">
        <v>1494</v>
      </c>
      <c r="E65" s="326">
        <v>622.98</v>
      </c>
      <c r="F65" s="38">
        <f t="shared" si="0"/>
        <v>373.78800000000001</v>
      </c>
      <c r="G65" s="396">
        <f>F65*B65</f>
        <v>0</v>
      </c>
      <c r="H65" s="397">
        <f t="shared" si="2"/>
        <v>31.099161599999999</v>
      </c>
      <c r="I65" s="397">
        <f t="shared" si="3"/>
        <v>0</v>
      </c>
      <c r="J65" s="397">
        <f t="shared" si="4"/>
        <v>11.699564400000002</v>
      </c>
      <c r="K65" s="397">
        <f t="shared" si="5"/>
        <v>0</v>
      </c>
      <c r="L65" s="397">
        <f t="shared" si="6"/>
        <v>9.5689728000000009</v>
      </c>
      <c r="M65" s="397">
        <f t="shared" si="7"/>
        <v>0</v>
      </c>
      <c r="N65" s="397">
        <f t="shared" si="8"/>
        <v>7.9616844000000002</v>
      </c>
      <c r="O65" s="397">
        <f t="shared" si="9"/>
        <v>0</v>
      </c>
    </row>
    <row r="66" spans="1:15" s="315" customFormat="1" ht="22.5" customHeight="1" thickBot="1">
      <c r="A66" s="1086"/>
      <c r="B66" s="319"/>
      <c r="C66" s="297" t="s">
        <v>1495</v>
      </c>
      <c r="D66" s="298" t="s">
        <v>1496</v>
      </c>
      <c r="E66" s="326">
        <v>1779.98</v>
      </c>
      <c r="F66" s="594">
        <f t="shared" si="0"/>
        <v>1067.9880000000001</v>
      </c>
      <c r="G66" s="396">
        <f t="shared" si="1"/>
        <v>0</v>
      </c>
      <c r="H66" s="397">
        <f t="shared" si="2"/>
        <v>88.856601600000005</v>
      </c>
      <c r="I66" s="397">
        <f t="shared" si="3"/>
        <v>0</v>
      </c>
      <c r="J66" s="397">
        <f t="shared" si="4"/>
        <v>33.428024400000005</v>
      </c>
      <c r="K66" s="397">
        <f t="shared" si="5"/>
        <v>0</v>
      </c>
      <c r="L66" s="397">
        <f t="shared" si="6"/>
        <v>27.340492800000003</v>
      </c>
      <c r="M66" s="397">
        <f t="shared" si="7"/>
        <v>0</v>
      </c>
      <c r="N66" s="397">
        <f t="shared" si="8"/>
        <v>22.748144400000001</v>
      </c>
      <c r="O66" s="397">
        <f t="shared" si="9"/>
        <v>0</v>
      </c>
    </row>
    <row r="67" spans="1:15" s="315" customFormat="1" ht="22.5" customHeight="1" thickBot="1">
      <c r="A67" s="1086"/>
      <c r="B67" s="319"/>
      <c r="C67" s="297" t="s">
        <v>1497</v>
      </c>
      <c r="D67" s="298" t="s">
        <v>1498</v>
      </c>
      <c r="E67" s="326">
        <v>87.52</v>
      </c>
      <c r="F67" s="38">
        <f t="shared" si="0"/>
        <v>52.511999999999993</v>
      </c>
      <c r="G67" s="396">
        <f t="shared" si="1"/>
        <v>0</v>
      </c>
      <c r="H67" s="397">
        <f t="shared" si="2"/>
        <v>4.3689983999999988</v>
      </c>
      <c r="I67" s="397">
        <f t="shared" si="3"/>
        <v>0</v>
      </c>
      <c r="J67" s="397">
        <f t="shared" si="4"/>
        <v>1.6436255999999998</v>
      </c>
      <c r="K67" s="397">
        <f t="shared" si="5"/>
        <v>0</v>
      </c>
      <c r="L67" s="397">
        <f t="shared" si="6"/>
        <v>1.3443071999999998</v>
      </c>
      <c r="M67" s="397">
        <f t="shared" si="7"/>
        <v>0</v>
      </c>
      <c r="N67" s="397">
        <f t="shared" si="8"/>
        <v>1.1185055999999998</v>
      </c>
      <c r="O67" s="397">
        <f t="shared" si="9"/>
        <v>0</v>
      </c>
    </row>
    <row r="68" spans="1:15" s="315" customFormat="1" ht="22.5" customHeight="1" thickBot="1">
      <c r="A68" s="1087"/>
      <c r="B68" s="319"/>
      <c r="C68" s="297" t="s">
        <v>1499</v>
      </c>
      <c r="D68" s="298" t="s">
        <v>1500</v>
      </c>
      <c r="E68" s="326">
        <v>202.6</v>
      </c>
      <c r="F68" s="38">
        <f t="shared" si="0"/>
        <v>121.55999999999999</v>
      </c>
      <c r="G68" s="396">
        <f t="shared" si="1"/>
        <v>0</v>
      </c>
      <c r="H68" s="397">
        <f t="shared" si="2"/>
        <v>10.113791999999998</v>
      </c>
      <c r="I68" s="397">
        <f t="shared" si="3"/>
        <v>0</v>
      </c>
      <c r="J68" s="397">
        <f t="shared" si="4"/>
        <v>3.8048279999999997</v>
      </c>
      <c r="K68" s="397">
        <f t="shared" si="5"/>
        <v>0</v>
      </c>
      <c r="L68" s="397">
        <f t="shared" si="6"/>
        <v>3.111936</v>
      </c>
      <c r="M68" s="397">
        <f t="shared" si="7"/>
        <v>0</v>
      </c>
      <c r="N68" s="397">
        <f t="shared" si="8"/>
        <v>2.5892279999999999</v>
      </c>
      <c r="O68" s="397">
        <f t="shared" si="9"/>
        <v>0</v>
      </c>
    </row>
    <row r="69" spans="1:15" s="315" customFormat="1" ht="15">
      <c r="C69" s="572"/>
      <c r="D69" s="1008" t="s">
        <v>65</v>
      </c>
      <c r="E69" s="1088"/>
      <c r="F69" s="1088"/>
      <c r="G69" s="520">
        <f t="array" ref="G69">SUM(G53:G68)+G44:G53:G68+G47:G53:G68+G50</f>
        <v>0</v>
      </c>
      <c r="H69" s="329" t="s">
        <v>66</v>
      </c>
      <c r="I69" s="520">
        <f t="array" ref="I69">SUM(I53:I68)+I44:I53:I68+I47:I53:I68+I50</f>
        <v>0</v>
      </c>
      <c r="J69" s="329" t="s">
        <v>67</v>
      </c>
      <c r="K69" s="520">
        <f t="array" ref="K69">SUM(K53:K68)+K44:K53:K68+K47:K53:K68+K50</f>
        <v>0</v>
      </c>
      <c r="L69" s="329" t="s">
        <v>68</v>
      </c>
      <c r="M69" s="520">
        <f t="array" ref="M69">SUM(M53:M68)+M44:M53:M68+M47:M53:M68+M50</f>
        <v>0</v>
      </c>
      <c r="N69" s="329" t="s">
        <v>69</v>
      </c>
      <c r="O69" s="520">
        <f t="array" ref="O69">SUM(O53:O68)+O44:O53:O68+O47:O53:O68+O50</f>
        <v>0</v>
      </c>
    </row>
    <row r="70" spans="1:15" s="315" customFormat="1" ht="14.25">
      <c r="C70" s="574"/>
      <c r="F70" s="456"/>
      <c r="G70" s="331"/>
    </row>
    <row r="71" spans="1:15" s="315" customFormat="1">
      <c r="C71" s="256"/>
      <c r="F71" s="456"/>
    </row>
    <row r="72" spans="1:15" ht="18">
      <c r="A72" s="595"/>
    </row>
    <row r="73" spans="1:15" ht="18">
      <c r="A73" s="595"/>
    </row>
    <row r="90" spans="3:3">
      <c r="C90" s="258"/>
    </row>
  </sheetData>
  <mergeCells count="78">
    <mergeCell ref="A28:D28"/>
    <mergeCell ref="E28:J28"/>
    <mergeCell ref="K28:O28"/>
    <mergeCell ref="A4:O4"/>
    <mergeCell ref="A5:O5"/>
    <mergeCell ref="F10:I10"/>
    <mergeCell ref="F24:G24"/>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A34:C34"/>
    <mergeCell ref="E34:H34"/>
    <mergeCell ref="I34:J34"/>
    <mergeCell ref="K34:M34"/>
    <mergeCell ref="N34:O34"/>
    <mergeCell ref="A33:C33"/>
    <mergeCell ref="E33:H33"/>
    <mergeCell ref="I33:J33"/>
    <mergeCell ref="K33:M33"/>
    <mergeCell ref="N33:O33"/>
    <mergeCell ref="I42:O42"/>
    <mergeCell ref="A35:C35"/>
    <mergeCell ref="E35:H35"/>
    <mergeCell ref="I35:J35"/>
    <mergeCell ref="K35:M35"/>
    <mergeCell ref="N35:O35"/>
    <mergeCell ref="A36:C36"/>
    <mergeCell ref="E36:H36"/>
    <mergeCell ref="I36:J36"/>
    <mergeCell ref="K36:M36"/>
    <mergeCell ref="N36:O36"/>
    <mergeCell ref="A39:D39"/>
    <mergeCell ref="A40:C40"/>
    <mergeCell ref="A41:C41"/>
    <mergeCell ref="A42:C42"/>
    <mergeCell ref="F42:H42"/>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O50:O51"/>
    <mergeCell ref="A52:O52"/>
    <mergeCell ref="A53:A68"/>
    <mergeCell ref="D69:F69"/>
    <mergeCell ref="A50:A51"/>
    <mergeCell ref="B50:B51"/>
    <mergeCell ref="G50:G51"/>
    <mergeCell ref="I50:I51"/>
    <mergeCell ref="K50:K51"/>
    <mergeCell ref="M50:M51"/>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9FAEE-DDD6-4474-A44A-55AEA36AE2B5}">
  <sheetPr>
    <tabColor rgb="FFFF0000"/>
  </sheetPr>
  <dimension ref="A1:P100"/>
  <sheetViews>
    <sheetView topLeftCell="A16" zoomScale="80" zoomScaleNormal="80" zoomScalePageLayoutView="90" workbookViewId="0">
      <selection activeCell="A25" sqref="A25:O25"/>
    </sheetView>
  </sheetViews>
  <sheetFormatPr defaultColWidth="8.85546875" defaultRowHeight="12.75"/>
  <cols>
    <col min="1" max="1" width="14.140625" style="256" customWidth="1"/>
    <col min="2" max="2" width="10.5703125" style="256" customWidth="1"/>
    <col min="3" max="3" width="18" style="256" customWidth="1"/>
    <col min="4" max="4" width="44.42578125" style="256" customWidth="1"/>
    <col min="5" max="5" width="15.7109375" style="256" customWidth="1"/>
    <col min="6" max="6" width="13.85546875" style="333" customWidth="1"/>
    <col min="7" max="7" width="15.7109375" style="256" customWidth="1"/>
    <col min="8" max="8" width="22.85546875" style="256" customWidth="1"/>
    <col min="9" max="10" width="23" style="256" customWidth="1"/>
    <col min="11" max="11" width="22.28515625" style="256" customWidth="1"/>
    <col min="12" max="12" width="25.28515625" style="256" customWidth="1"/>
    <col min="13" max="13" width="23" style="256" customWidth="1"/>
    <col min="14" max="14" width="23.5703125" style="256" customWidth="1"/>
    <col min="15" max="15" width="21" style="256" customWidth="1"/>
    <col min="16" max="16" width="12.42578125" style="256" customWidth="1"/>
    <col min="17" max="16384" width="8.85546875" style="256"/>
  </cols>
  <sheetData>
    <row r="1" spans="1:16" ht="13.5" thickBot="1">
      <c r="C1" s="257"/>
      <c r="D1" s="258"/>
      <c r="E1" s="258"/>
      <c r="F1" s="259"/>
      <c r="G1" s="259"/>
      <c r="H1" s="259"/>
      <c r="I1" s="259"/>
      <c r="J1" s="259"/>
      <c r="K1" s="259"/>
      <c r="L1" s="259"/>
    </row>
    <row r="2" spans="1:16" ht="9" customHeight="1">
      <c r="A2" s="260"/>
      <c r="B2" s="261"/>
      <c r="C2" s="261"/>
      <c r="D2" s="262"/>
      <c r="E2" s="262"/>
      <c r="F2" s="263"/>
      <c r="G2" s="263"/>
      <c r="H2" s="263"/>
      <c r="I2" s="264"/>
      <c r="J2" s="264"/>
      <c r="K2" s="264"/>
      <c r="L2" s="264"/>
      <c r="M2" s="260"/>
      <c r="N2" s="260"/>
      <c r="O2" s="260"/>
    </row>
    <row r="3" spans="1:16" ht="10.5" customHeight="1">
      <c r="B3" s="257"/>
      <c r="C3" s="257"/>
      <c r="D3" s="258"/>
      <c r="E3" s="258"/>
      <c r="F3" s="259"/>
      <c r="G3" s="259"/>
      <c r="H3" s="259"/>
      <c r="I3" s="265"/>
      <c r="J3" s="265"/>
      <c r="K3" s="265"/>
      <c r="L3" s="265"/>
    </row>
    <row r="4" spans="1:16" ht="30">
      <c r="A4" s="1043" t="s">
        <v>1511</v>
      </c>
      <c r="B4" s="1020"/>
      <c r="C4" s="1020"/>
      <c r="D4" s="1020"/>
      <c r="E4" s="1020"/>
      <c r="F4" s="1020"/>
      <c r="G4" s="1020"/>
      <c r="H4" s="1020"/>
      <c r="I4" s="1020"/>
      <c r="J4" s="1020"/>
      <c r="K4" s="1020"/>
      <c r="L4" s="1020"/>
      <c r="M4" s="1020"/>
      <c r="N4" s="1020"/>
      <c r="O4" s="1020"/>
    </row>
    <row r="5" spans="1:16" s="266" customFormat="1" ht="38.25" customHeight="1">
      <c r="A5" s="1044" t="s">
        <v>1428</v>
      </c>
      <c r="B5" s="1045"/>
      <c r="C5" s="1045"/>
      <c r="D5" s="1045"/>
      <c r="E5" s="1045"/>
      <c r="F5" s="1045"/>
      <c r="G5" s="1045"/>
      <c r="H5" s="1045"/>
      <c r="I5" s="1045"/>
      <c r="J5" s="1045"/>
      <c r="K5" s="1045"/>
      <c r="L5" s="1045"/>
      <c r="M5" s="1045"/>
      <c r="N5" s="1045"/>
      <c r="O5" s="1045"/>
      <c r="P5" s="256"/>
    </row>
    <row r="6" spans="1:16" ht="9" customHeight="1" thickBot="1">
      <c r="A6" s="267"/>
      <c r="B6" s="553"/>
      <c r="C6" s="553"/>
      <c r="D6" s="554"/>
      <c r="E6" s="554"/>
      <c r="F6" s="555"/>
      <c r="G6" s="555"/>
      <c r="H6" s="555"/>
      <c r="I6" s="506"/>
      <c r="J6" s="506"/>
      <c r="K6" s="506"/>
      <c r="L6" s="506"/>
      <c r="M6" s="267"/>
      <c r="N6" s="267"/>
      <c r="O6" s="267"/>
    </row>
    <row r="7" spans="1:16">
      <c r="G7" s="333"/>
    </row>
    <row r="8" spans="1:16" s="265" customFormat="1">
      <c r="A8" s="256"/>
      <c r="B8" s="256"/>
      <c r="C8" s="256"/>
      <c r="D8" s="256"/>
      <c r="E8" s="256"/>
      <c r="F8" s="333"/>
      <c r="G8" s="333"/>
      <c r="H8" s="256"/>
      <c r="I8" s="256"/>
      <c r="J8" s="256"/>
      <c r="K8" s="256"/>
      <c r="L8" s="256"/>
      <c r="M8" s="256"/>
      <c r="N8" s="256"/>
      <c r="O8" s="256"/>
    </row>
    <row r="9" spans="1:16" s="265" customFormat="1" ht="14.25">
      <c r="B9" s="268"/>
      <c r="C9" s="268"/>
      <c r="D9" s="269"/>
      <c r="E9" s="269"/>
      <c r="F9" s="269"/>
      <c r="G9" s="269"/>
      <c r="H9" s="269"/>
      <c r="I9" s="269"/>
      <c r="J9" s="269"/>
      <c r="K9" s="269"/>
      <c r="L9" s="269"/>
    </row>
    <row r="10" spans="1:16" s="265" customFormat="1" ht="14.25">
      <c r="F10" s="1046" t="s">
        <v>0</v>
      </c>
      <c r="G10" s="1046"/>
      <c r="H10" s="1046"/>
      <c r="I10" s="1046"/>
    </row>
    <row r="11" spans="1:16" s="265" customFormat="1" ht="14.25">
      <c r="G11" s="275" t="s">
        <v>1</v>
      </c>
      <c r="H11" s="265" t="s">
        <v>1429</v>
      </c>
    </row>
    <row r="12" spans="1:16" s="265" customFormat="1" ht="14.25">
      <c r="F12" s="902"/>
      <c r="G12" s="276" t="s">
        <v>5</v>
      </c>
      <c r="H12" s="548" t="s">
        <v>6</v>
      </c>
      <c r="I12" s="548"/>
      <c r="K12" s="548"/>
      <c r="L12" s="799"/>
      <c r="M12" s="256"/>
      <c r="N12" s="256"/>
      <c r="O12" s="256"/>
    </row>
    <row r="13" spans="1:16" s="265" customFormat="1">
      <c r="F13" s="902"/>
      <c r="G13" s="270" t="s">
        <v>7</v>
      </c>
      <c r="H13" s="556">
        <v>80000</v>
      </c>
      <c r="I13" s="556"/>
      <c r="K13" s="556"/>
      <c r="L13" s="547"/>
      <c r="M13" s="256"/>
      <c r="N13" s="256"/>
      <c r="O13" s="256"/>
    </row>
    <row r="14" spans="1:16" s="265" customFormat="1">
      <c r="F14" s="902"/>
      <c r="G14" s="270" t="s">
        <v>8</v>
      </c>
      <c r="H14" s="265" t="s">
        <v>1512</v>
      </c>
      <c r="L14" s="547"/>
      <c r="M14" s="256"/>
      <c r="N14" s="256"/>
      <c r="O14" s="256"/>
    </row>
    <row r="15" spans="1:16" s="265" customFormat="1" ht="14.25">
      <c r="A15" s="799"/>
      <c r="B15" s="256"/>
      <c r="C15" s="256"/>
      <c r="D15" s="256"/>
      <c r="E15" s="256"/>
      <c r="F15" s="256"/>
      <c r="G15" s="270" t="s">
        <v>10</v>
      </c>
      <c r="H15" s="265" t="s">
        <v>11</v>
      </c>
      <c r="L15" s="547"/>
      <c r="M15" s="256"/>
      <c r="N15" s="256"/>
      <c r="O15" s="256"/>
    </row>
    <row r="16" spans="1:16" s="265" customFormat="1">
      <c r="A16" s="547"/>
      <c r="B16" s="256"/>
      <c r="C16" s="256"/>
      <c r="E16" s="256"/>
      <c r="F16" s="256"/>
      <c r="G16" s="270" t="s">
        <v>185</v>
      </c>
      <c r="H16" s="265" t="s">
        <v>1430</v>
      </c>
      <c r="L16" s="547"/>
      <c r="M16" s="256"/>
      <c r="N16" s="256"/>
      <c r="O16" s="256"/>
    </row>
    <row r="17" spans="1:16" s="265" customFormat="1">
      <c r="A17" s="547"/>
      <c r="B17" s="256"/>
      <c r="C17" s="256"/>
      <c r="D17" s="903"/>
      <c r="E17" s="904"/>
      <c r="F17" s="904"/>
      <c r="G17" s="270" t="s">
        <v>14</v>
      </c>
      <c r="H17" s="265" t="s">
        <v>15</v>
      </c>
    </row>
    <row r="18" spans="1:16" s="265" customFormat="1">
      <c r="F18" s="902"/>
      <c r="G18" s="270" t="s">
        <v>16</v>
      </c>
      <c r="H18" s="265" t="s">
        <v>1431</v>
      </c>
    </row>
    <row r="19" spans="1:16" s="265" customFormat="1">
      <c r="F19" s="902"/>
      <c r="G19" s="270" t="s">
        <v>18</v>
      </c>
      <c r="H19" s="265" t="s">
        <v>19</v>
      </c>
    </row>
    <row r="20" spans="1:16" s="265" customFormat="1" ht="14.25">
      <c r="C20" s="905"/>
      <c r="F20" s="283"/>
      <c r="G20" s="270" t="s">
        <v>22</v>
      </c>
      <c r="H20" s="265" t="s">
        <v>1513</v>
      </c>
      <c r="K20" s="282"/>
    </row>
    <row r="21" spans="1:16" s="265" customFormat="1" ht="14.25">
      <c r="D21" s="277"/>
      <c r="E21" s="277"/>
      <c r="F21" s="283"/>
      <c r="G21" s="270" t="s">
        <v>24</v>
      </c>
      <c r="H21" s="265" t="s">
        <v>1461</v>
      </c>
    </row>
    <row r="22" spans="1:16" s="265" customFormat="1" ht="14.25">
      <c r="D22" s="277"/>
      <c r="E22" s="277"/>
      <c r="F22" s="283"/>
      <c r="G22" s="270" t="s">
        <v>26</v>
      </c>
      <c r="H22" s="265" t="s">
        <v>1462</v>
      </c>
    </row>
    <row r="23" spans="1:16" s="265" customFormat="1" ht="15.75" customHeight="1">
      <c r="D23" s="277"/>
      <c r="E23" s="277"/>
      <c r="F23" s="283"/>
      <c r="G23" s="270" t="s">
        <v>28</v>
      </c>
      <c r="H23" s="265" t="s">
        <v>1463</v>
      </c>
    </row>
    <row r="24" spans="1:16" s="265" customFormat="1" ht="12.75" customHeight="1">
      <c r="D24" s="277"/>
      <c r="E24" s="277"/>
      <c r="F24" s="1329"/>
      <c r="G24" s="1020"/>
    </row>
    <row r="25" spans="1:16" s="265" customFormat="1" ht="12.75" customHeight="1">
      <c r="D25" s="277"/>
      <c r="E25" s="277"/>
      <c r="F25" s="283"/>
      <c r="H25" s="270"/>
    </row>
    <row r="26" spans="1:16" s="265" customFormat="1" ht="12.75" customHeight="1">
      <c r="D26" s="277"/>
      <c r="E26" s="277"/>
      <c r="F26" s="283"/>
      <c r="H26" s="270"/>
    </row>
    <row r="27" spans="1:16" s="265" customFormat="1" ht="15" thickBot="1">
      <c r="A27" s="1111" t="s">
        <v>30</v>
      </c>
      <c r="B27" s="1033"/>
      <c r="C27" s="1033"/>
      <c r="D27" s="1033"/>
      <c r="E27" s="1033"/>
      <c r="F27" s="1033"/>
      <c r="G27" s="1033"/>
      <c r="H27" s="1033"/>
      <c r="I27" s="1033"/>
      <c r="J27" s="1033"/>
      <c r="K27" s="1033"/>
      <c r="L27" s="1033"/>
      <c r="M27" s="1033"/>
      <c r="N27" s="1033"/>
      <c r="O27" s="1033"/>
      <c r="P27" s="256"/>
    </row>
    <row r="28" spans="1:16" s="265" customFormat="1" ht="14.25">
      <c r="A28" s="1105" t="s">
        <v>1514</v>
      </c>
      <c r="B28" s="1106"/>
      <c r="C28" s="1106"/>
      <c r="D28" s="1107"/>
      <c r="E28" s="1108" t="s">
        <v>1515</v>
      </c>
      <c r="F28" s="1010"/>
      <c r="G28" s="1010"/>
      <c r="H28" s="1010"/>
      <c r="I28" s="1010"/>
      <c r="J28" s="1109"/>
      <c r="K28" s="1105" t="s">
        <v>1516</v>
      </c>
      <c r="L28" s="1010"/>
      <c r="M28" s="1010"/>
      <c r="N28" s="1010"/>
      <c r="O28" s="1109"/>
      <c r="P28" s="256"/>
    </row>
    <row r="29" spans="1:16" s="265" customFormat="1" ht="12.75" customHeight="1">
      <c r="A29" s="1028" t="s">
        <v>33</v>
      </c>
      <c r="B29" s="1029"/>
      <c r="C29" s="1029"/>
      <c r="D29" s="279" t="s">
        <v>34</v>
      </c>
      <c r="E29" s="1028" t="s">
        <v>33</v>
      </c>
      <c r="F29" s="1020"/>
      <c r="G29" s="1020"/>
      <c r="H29" s="1020"/>
      <c r="I29" s="1093" t="s">
        <v>35</v>
      </c>
      <c r="J29" s="1094"/>
      <c r="K29" s="1028" t="s">
        <v>33</v>
      </c>
      <c r="L29" s="1020"/>
      <c r="M29" s="1020"/>
      <c r="N29" s="1095" t="s">
        <v>35</v>
      </c>
      <c r="O29" s="1096"/>
    </row>
    <row r="30" spans="1:16" s="265" customFormat="1" ht="12.75" customHeight="1">
      <c r="A30" s="1028" t="s">
        <v>199</v>
      </c>
      <c r="B30" s="1029"/>
      <c r="C30" s="1029"/>
      <c r="D30" s="280">
        <v>0</v>
      </c>
      <c r="E30" s="1028" t="s">
        <v>199</v>
      </c>
      <c r="F30" s="1020"/>
      <c r="G30" s="1020"/>
      <c r="H30" s="1020"/>
      <c r="I30" s="1102">
        <v>1152</v>
      </c>
      <c r="J30" s="1094"/>
      <c r="K30" s="1028" t="s">
        <v>199</v>
      </c>
      <c r="L30" s="1020"/>
      <c r="M30" s="1020"/>
      <c r="N30" s="1103">
        <v>2304</v>
      </c>
      <c r="O30" s="1104"/>
      <c r="P30" s="273"/>
    </row>
    <row r="31" spans="1:16" s="265" customFormat="1" ht="12.75" customHeight="1">
      <c r="A31" s="1028" t="s">
        <v>1505</v>
      </c>
      <c r="B31" s="1029"/>
      <c r="C31" s="1029"/>
      <c r="D31" s="279" t="s">
        <v>38</v>
      </c>
      <c r="E31" s="1028" t="s">
        <v>1505</v>
      </c>
      <c r="F31" s="1020"/>
      <c r="G31" s="1020"/>
      <c r="H31" s="1020"/>
      <c r="I31" s="1093" t="s">
        <v>396</v>
      </c>
      <c r="J31" s="1094"/>
      <c r="K31" s="1028" t="s">
        <v>1505</v>
      </c>
      <c r="L31" s="1029"/>
      <c r="M31" s="1029"/>
      <c r="N31" s="1095" t="s">
        <v>397</v>
      </c>
      <c r="O31" s="1096"/>
    </row>
    <row r="32" spans="1:16" s="265" customFormat="1" ht="12.75" customHeight="1">
      <c r="A32" s="1028" t="s">
        <v>1454</v>
      </c>
      <c r="B32" s="1029"/>
      <c r="C32" s="1029"/>
      <c r="D32" s="279" t="s">
        <v>283</v>
      </c>
      <c r="E32" s="1028" t="s">
        <v>1507</v>
      </c>
      <c r="F32" s="1029"/>
      <c r="G32" s="1029"/>
      <c r="H32" s="1029"/>
      <c r="I32" s="1093" t="s">
        <v>1466</v>
      </c>
      <c r="J32" s="1117"/>
      <c r="K32" s="1028" t="s">
        <v>1439</v>
      </c>
      <c r="L32" s="1029"/>
      <c r="M32" s="1029"/>
      <c r="N32" s="1095" t="s">
        <v>205</v>
      </c>
      <c r="O32" s="1096"/>
    </row>
    <row r="33" spans="1:16" s="265" customFormat="1" ht="12.75" customHeight="1">
      <c r="A33" s="1333" t="s">
        <v>1508</v>
      </c>
      <c r="B33" s="1343"/>
      <c r="C33" s="1343"/>
      <c r="D33" s="909" t="s">
        <v>38</v>
      </c>
      <c r="E33" s="1333" t="s">
        <v>1508</v>
      </c>
      <c r="F33" s="1334"/>
      <c r="G33" s="1334"/>
      <c r="H33" s="1334"/>
      <c r="I33" s="1352" t="s">
        <v>38</v>
      </c>
      <c r="J33" s="1353"/>
      <c r="K33" s="1333" t="s">
        <v>1508</v>
      </c>
      <c r="L33" s="1343"/>
      <c r="M33" s="1343"/>
      <c r="N33" s="1348" t="s">
        <v>38</v>
      </c>
      <c r="O33" s="1349"/>
    </row>
    <row r="34" spans="1:16" s="265" customFormat="1" ht="12.75" customHeight="1">
      <c r="A34" s="1333" t="s">
        <v>1440</v>
      </c>
      <c r="B34" s="1343"/>
      <c r="C34" s="1343"/>
      <c r="D34" s="906" t="s">
        <v>1517</v>
      </c>
      <c r="E34" s="1333" t="s">
        <v>1440</v>
      </c>
      <c r="F34" s="1334"/>
      <c r="G34" s="1334"/>
      <c r="H34" s="1334"/>
      <c r="I34" s="1334" t="s">
        <v>1517</v>
      </c>
      <c r="J34" s="1335"/>
      <c r="K34" s="1333" t="s">
        <v>1440</v>
      </c>
      <c r="L34" s="1343"/>
      <c r="M34" s="1343"/>
      <c r="N34" s="1334" t="s">
        <v>1517</v>
      </c>
      <c r="O34" s="1335"/>
    </row>
    <row r="35" spans="1:16" s="265" customFormat="1" ht="12.75" customHeight="1">
      <c r="A35" s="1333" t="s">
        <v>1442</v>
      </c>
      <c r="B35" s="1343"/>
      <c r="C35" s="1343"/>
      <c r="D35" s="906" t="s">
        <v>1443</v>
      </c>
      <c r="E35" s="1333" t="s">
        <v>1442</v>
      </c>
      <c r="F35" s="1334"/>
      <c r="G35" s="1334"/>
      <c r="H35" s="1334"/>
      <c r="I35" s="1334" t="s">
        <v>1443</v>
      </c>
      <c r="J35" s="1335"/>
      <c r="K35" s="1333" t="s">
        <v>1442</v>
      </c>
      <c r="L35" s="1343"/>
      <c r="M35" s="1343"/>
      <c r="N35" s="1334" t="s">
        <v>1443</v>
      </c>
      <c r="O35" s="1335"/>
    </row>
    <row r="36" spans="1:16" s="265" customFormat="1" ht="12.75" customHeight="1" thickBot="1">
      <c r="A36" s="1336" t="s">
        <v>1444</v>
      </c>
      <c r="B36" s="1337"/>
      <c r="C36" s="1337"/>
      <c r="D36" s="908" t="s">
        <v>1518</v>
      </c>
      <c r="E36" s="1336" t="s">
        <v>1444</v>
      </c>
      <c r="F36" s="1338"/>
      <c r="G36" s="1338"/>
      <c r="H36" s="1338"/>
      <c r="I36" s="1338" t="s">
        <v>1518</v>
      </c>
      <c r="J36" s="1339"/>
      <c r="K36" s="1336" t="s">
        <v>1444</v>
      </c>
      <c r="L36" s="1337"/>
      <c r="M36" s="1337"/>
      <c r="N36" s="1338" t="s">
        <v>1518</v>
      </c>
      <c r="O36" s="1339"/>
    </row>
    <row r="37" spans="1:16" s="265" customFormat="1" ht="12.6" customHeight="1">
      <c r="D37" s="277"/>
      <c r="E37" s="277"/>
      <c r="F37" s="283"/>
      <c r="H37" s="270"/>
    </row>
    <row r="38" spans="1:16" s="265" customFormat="1" ht="12.75" customHeight="1">
      <c r="C38" s="577"/>
      <c r="D38" s="277"/>
      <c r="E38" s="277"/>
      <c r="F38" s="283"/>
      <c r="G38" s="283"/>
      <c r="H38" s="283"/>
      <c r="I38" s="578"/>
      <c r="J38" s="578"/>
      <c r="K38" s="578"/>
      <c r="L38" s="447"/>
    </row>
    <row r="39" spans="1:16" s="265" customFormat="1" ht="12.75" customHeight="1">
      <c r="A39" s="1038"/>
      <c r="B39" s="1020"/>
      <c r="C39" s="1020"/>
      <c r="D39" s="1020"/>
      <c r="E39" s="277"/>
      <c r="F39" s="283"/>
      <c r="G39" s="283"/>
      <c r="H39" s="283"/>
      <c r="I39" s="578"/>
      <c r="J39" s="578"/>
      <c r="K39" s="578"/>
      <c r="L39" s="447"/>
    </row>
    <row r="40" spans="1:16" s="265" customFormat="1" ht="12.75" customHeight="1">
      <c r="A40" s="1029"/>
      <c r="B40" s="1020"/>
      <c r="C40" s="1020"/>
      <c r="E40" s="277"/>
      <c r="F40" s="283"/>
      <c r="G40" s="283"/>
      <c r="H40" s="283"/>
      <c r="I40" s="578"/>
      <c r="J40" s="578"/>
      <c r="K40" s="578"/>
      <c r="L40" s="447"/>
    </row>
    <row r="41" spans="1:16" s="265" customFormat="1" ht="12.75" customHeight="1" thickBot="1">
      <c r="A41" s="1029"/>
      <c r="B41" s="1020"/>
      <c r="C41" s="1020"/>
      <c r="E41" s="277"/>
      <c r="F41" s="283"/>
      <c r="G41" s="288"/>
      <c r="I41" s="288"/>
      <c r="J41" s="288"/>
      <c r="K41" s="288"/>
      <c r="L41" s="288"/>
    </row>
    <row r="42" spans="1:16" s="265" customFormat="1" ht="15.75" customHeight="1" thickBot="1">
      <c r="A42" s="1032"/>
      <c r="B42" s="1033"/>
      <c r="C42" s="1033"/>
      <c r="D42" s="576"/>
      <c r="F42" s="1063" t="s">
        <v>43</v>
      </c>
      <c r="G42" s="1101"/>
      <c r="H42" s="1022"/>
      <c r="I42" s="1023" t="s">
        <v>44</v>
      </c>
      <c r="J42" s="1003"/>
      <c r="K42" s="1003"/>
      <c r="L42" s="1003"/>
      <c r="M42" s="1003"/>
      <c r="N42" s="1003"/>
      <c r="O42" s="1025"/>
      <c r="P42" s="256"/>
    </row>
    <row r="43" spans="1:16" s="291" customFormat="1" ht="58.5" customHeight="1" thickBot="1">
      <c r="A43" s="289" t="s">
        <v>45</v>
      </c>
      <c r="B43" s="289" t="s">
        <v>46</v>
      </c>
      <c r="C43" s="579" t="s">
        <v>47</v>
      </c>
      <c r="D43" s="290" t="s">
        <v>48</v>
      </c>
      <c r="E43" s="290" t="s">
        <v>49</v>
      </c>
      <c r="F43" s="290" t="s">
        <v>50</v>
      </c>
      <c r="G43" s="289" t="s">
        <v>51</v>
      </c>
      <c r="H43" s="290" t="s">
        <v>52</v>
      </c>
      <c r="I43" s="289" t="s">
        <v>51</v>
      </c>
      <c r="J43" s="290" t="s">
        <v>53</v>
      </c>
      <c r="K43" s="289" t="s">
        <v>51</v>
      </c>
      <c r="L43" s="290" t="s">
        <v>54</v>
      </c>
      <c r="M43" s="289" t="s">
        <v>51</v>
      </c>
      <c r="N43" s="290" t="s">
        <v>55</v>
      </c>
      <c r="O43" s="289" t="s">
        <v>51</v>
      </c>
    </row>
    <row r="44" spans="1:16" s="557" customFormat="1" ht="29.25" customHeight="1" thickBot="1">
      <c r="A44" s="1089">
        <v>57</v>
      </c>
      <c r="B44" s="1089"/>
      <c r="C44" s="550" t="s">
        <v>1519</v>
      </c>
      <c r="D44" s="559" t="s">
        <v>1520</v>
      </c>
      <c r="E44" s="560">
        <v>18568.37</v>
      </c>
      <c r="F44" s="30">
        <f>SUM(E44,,E45)*(1-70%)</f>
        <v>5593.0110000000004</v>
      </c>
      <c r="G44" s="1011">
        <f>F44*B44</f>
        <v>0</v>
      </c>
      <c r="H44" s="30">
        <f>F44*0.0832</f>
        <v>465.33851520000002</v>
      </c>
      <c r="I44" s="1011">
        <f>H44*B44</f>
        <v>0</v>
      </c>
      <c r="J44" s="30">
        <f>F44*0.0313</f>
        <v>175.06124430000003</v>
      </c>
      <c r="K44" s="1011">
        <f>J44*B44</f>
        <v>0</v>
      </c>
      <c r="L44" s="30">
        <f>F44*0.0256</f>
        <v>143.18108160000003</v>
      </c>
      <c r="M44" s="1011">
        <f>L44*B44</f>
        <v>0</v>
      </c>
      <c r="N44" s="30">
        <f>F44*0.0213</f>
        <v>119.1311343</v>
      </c>
      <c r="O44" s="1011">
        <f>N44*B44</f>
        <v>0</v>
      </c>
      <c r="P44" s="561"/>
    </row>
    <row r="45" spans="1:16" s="519" customFormat="1" ht="13.5" thickBot="1">
      <c r="A45" s="1090"/>
      <c r="B45" s="1090"/>
      <c r="C45" s="544" t="s">
        <v>56</v>
      </c>
      <c r="D45" s="575" t="s">
        <v>57</v>
      </c>
      <c r="E45" s="491">
        <v>75</v>
      </c>
      <c r="F45" s="300" t="s">
        <v>35</v>
      </c>
      <c r="G45" s="1092"/>
      <c r="H45" s="301" t="s">
        <v>35</v>
      </c>
      <c r="I45" s="1092"/>
      <c r="J45" s="301" t="s">
        <v>35</v>
      </c>
      <c r="K45" s="1092"/>
      <c r="L45" s="301" t="s">
        <v>35</v>
      </c>
      <c r="M45" s="1092"/>
      <c r="N45" s="301" t="s">
        <v>35</v>
      </c>
      <c r="O45" s="1092"/>
    </row>
    <row r="46" spans="1:16" s="519" customFormat="1" ht="13.5" thickBot="1">
      <c r="A46" s="563"/>
      <c r="B46" s="308"/>
      <c r="C46" s="545"/>
      <c r="D46" s="537"/>
      <c r="E46" s="564"/>
      <c r="F46" s="33"/>
      <c r="G46" s="34"/>
      <c r="H46" s="36"/>
      <c r="I46" s="34"/>
      <c r="J46" s="36"/>
      <c r="K46" s="35"/>
      <c r="L46" s="36"/>
      <c r="M46" s="34"/>
      <c r="N46" s="36"/>
      <c r="O46" s="35"/>
    </row>
    <row r="47" spans="1:16" s="557" customFormat="1" ht="29.25" customHeight="1" thickBot="1">
      <c r="A47" s="1089" t="s">
        <v>1521</v>
      </c>
      <c r="B47" s="1089"/>
      <c r="C47" s="550" t="s">
        <v>1519</v>
      </c>
      <c r="D47" s="559" t="s">
        <v>1520</v>
      </c>
      <c r="E47" s="560">
        <v>18568.37</v>
      </c>
      <c r="F47" s="30">
        <f>SUM(E47,,E48)*(1-70%)</f>
        <v>5593.0110000000004</v>
      </c>
      <c r="G47" s="1011">
        <f>F47*B47</f>
        <v>0</v>
      </c>
      <c r="H47" s="30">
        <f>F47*0.0832+I30/12</f>
        <v>561.33851520000007</v>
      </c>
      <c r="I47" s="1011">
        <f>H47*B47</f>
        <v>0</v>
      </c>
      <c r="J47" s="30">
        <f>F47*0.0313+I30/12</f>
        <v>271.0612443</v>
      </c>
      <c r="K47" s="1011">
        <f>J47*B47</f>
        <v>0</v>
      </c>
      <c r="L47" s="30">
        <f>F47*0.0256+I30/12</f>
        <v>239.18108160000003</v>
      </c>
      <c r="M47" s="1011">
        <f>L47*B47</f>
        <v>0</v>
      </c>
      <c r="N47" s="30">
        <f>F47*0.0213+I30/12</f>
        <v>215.13113429999999</v>
      </c>
      <c r="O47" s="1011">
        <f>N47*B47</f>
        <v>0</v>
      </c>
      <c r="P47" s="561"/>
    </row>
    <row r="48" spans="1:16" s="519" customFormat="1" ht="13.5" thickBot="1">
      <c r="A48" s="1090"/>
      <c r="B48" s="1090"/>
      <c r="C48" s="544" t="s">
        <v>56</v>
      </c>
      <c r="D48" s="575" t="s">
        <v>57</v>
      </c>
      <c r="E48" s="491">
        <v>75</v>
      </c>
      <c r="F48" s="31" t="s">
        <v>35</v>
      </c>
      <c r="G48" s="1092"/>
      <c r="H48" s="32" t="s">
        <v>35</v>
      </c>
      <c r="I48" s="1092"/>
      <c r="J48" s="32" t="s">
        <v>35</v>
      </c>
      <c r="K48" s="1092"/>
      <c r="L48" s="32" t="s">
        <v>35</v>
      </c>
      <c r="M48" s="1092"/>
      <c r="N48" s="32" t="s">
        <v>35</v>
      </c>
      <c r="O48" s="1092"/>
    </row>
    <row r="49" spans="1:16" s="519" customFormat="1" ht="13.5" thickBot="1">
      <c r="A49" s="563"/>
      <c r="B49" s="308"/>
      <c r="C49" s="545"/>
      <c r="D49" s="537"/>
      <c r="E49" s="564"/>
      <c r="F49" s="33"/>
      <c r="G49" s="34"/>
      <c r="H49" s="36"/>
      <c r="I49" s="34"/>
      <c r="J49" s="36"/>
      <c r="K49" s="35"/>
      <c r="L49" s="36"/>
      <c r="M49" s="34"/>
      <c r="N49" s="36"/>
      <c r="O49" s="35"/>
    </row>
    <row r="50" spans="1:16" s="557" customFormat="1" ht="29.25" customHeight="1" thickBot="1">
      <c r="A50" s="1089" t="s">
        <v>1522</v>
      </c>
      <c r="B50" s="1089"/>
      <c r="C50" s="550" t="s">
        <v>1519</v>
      </c>
      <c r="D50" s="559" t="s">
        <v>1520</v>
      </c>
      <c r="E50" s="560">
        <v>18568.37</v>
      </c>
      <c r="F50" s="30">
        <f>SUM(E50,,E51)*(1-70%)</f>
        <v>5593.0110000000004</v>
      </c>
      <c r="G50" s="1011">
        <f>F50*B50</f>
        <v>0</v>
      </c>
      <c r="H50" s="30">
        <f>F50*0.0832+N30/12</f>
        <v>657.33851520000007</v>
      </c>
      <c r="I50" s="1011">
        <f>H50*B50</f>
        <v>0</v>
      </c>
      <c r="J50" s="30">
        <f>F50*0.0313+N30/12</f>
        <v>367.0612443</v>
      </c>
      <c r="K50" s="1011">
        <f>J50*B50</f>
        <v>0</v>
      </c>
      <c r="L50" s="30">
        <f>F50*0.0256+N30/12</f>
        <v>335.18108160000003</v>
      </c>
      <c r="M50" s="1011">
        <f>L50*B50</f>
        <v>0</v>
      </c>
      <c r="N50" s="30">
        <f>F50*0.0213+N30/12</f>
        <v>311.13113429999999</v>
      </c>
      <c r="O50" s="1011">
        <f>N50*B50</f>
        <v>0</v>
      </c>
      <c r="P50" s="561"/>
    </row>
    <row r="51" spans="1:16" s="519" customFormat="1" ht="13.5" thickBot="1">
      <c r="A51" s="1091"/>
      <c r="B51" s="1091"/>
      <c r="C51" s="544" t="s">
        <v>56</v>
      </c>
      <c r="D51" s="575" t="s">
        <v>57</v>
      </c>
      <c r="E51" s="491">
        <v>75</v>
      </c>
      <c r="F51" s="300" t="s">
        <v>35</v>
      </c>
      <c r="G51" s="1084"/>
      <c r="H51" s="448" t="s">
        <v>35</v>
      </c>
      <c r="I51" s="1084"/>
      <c r="J51" s="448" t="s">
        <v>35</v>
      </c>
      <c r="K51" s="1084"/>
      <c r="L51" s="448" t="s">
        <v>35</v>
      </c>
      <c r="M51" s="1084"/>
      <c r="N51" s="448" t="s">
        <v>35</v>
      </c>
      <c r="O51" s="1084"/>
    </row>
    <row r="52" spans="1:16" s="519" customFormat="1" ht="13.5" customHeight="1" thickBot="1">
      <c r="A52" s="1002" t="s">
        <v>59</v>
      </c>
      <c r="B52" s="1003"/>
      <c r="C52" s="1003"/>
      <c r="D52" s="1003"/>
      <c r="E52" s="1003"/>
      <c r="F52" s="1003"/>
      <c r="G52" s="1003"/>
      <c r="H52" s="1003"/>
      <c r="I52" s="1003"/>
      <c r="J52" s="1003"/>
      <c r="K52" s="1003"/>
      <c r="L52" s="1003"/>
      <c r="M52" s="1003"/>
      <c r="N52" s="1003"/>
      <c r="O52" s="1025"/>
    </row>
    <row r="53" spans="1:16" s="291" customFormat="1" ht="22.5" customHeight="1" thickBot="1">
      <c r="A53" s="1085"/>
      <c r="B53" s="583"/>
      <c r="C53" s="297" t="s">
        <v>1523</v>
      </c>
      <c r="D53" s="298" t="s">
        <v>1524</v>
      </c>
      <c r="E53" s="326">
        <v>1108</v>
      </c>
      <c r="F53" s="38">
        <f t="shared" ref="F53:F78" si="0">E53*(1-40%)</f>
        <v>664.8</v>
      </c>
      <c r="G53" s="397">
        <f t="shared" ref="G53:G78" si="1">F53*B53</f>
        <v>0</v>
      </c>
      <c r="H53" s="397">
        <f t="shared" ref="H53:H78" si="2">F53*0.0832</f>
        <v>55.311359999999993</v>
      </c>
      <c r="I53" s="397">
        <f t="shared" ref="I53:I78" si="3">H53*B53</f>
        <v>0</v>
      </c>
      <c r="J53" s="397">
        <f t="shared" ref="J53:J78" si="4">F53*0.0313</f>
        <v>20.808239999999998</v>
      </c>
      <c r="K53" s="397">
        <f t="shared" ref="K53:K78" si="5">J53*B53</f>
        <v>0</v>
      </c>
      <c r="L53" s="397">
        <f t="shared" ref="L53:L78" si="6">F53*0.0256</f>
        <v>17.018879999999999</v>
      </c>
      <c r="M53" s="397">
        <f t="shared" ref="M53:M78" si="7">L53*B53</f>
        <v>0</v>
      </c>
      <c r="N53" s="397">
        <f t="shared" ref="N53:N78" si="8">F53*0.0213</f>
        <v>14.160239999999998</v>
      </c>
      <c r="O53" s="397">
        <f t="shared" ref="O53:O78" si="9">N53*B53</f>
        <v>0</v>
      </c>
    </row>
    <row r="54" spans="1:16" s="291" customFormat="1" ht="22.5" customHeight="1" thickBot="1">
      <c r="A54" s="1086"/>
      <c r="B54" s="583"/>
      <c r="C54" s="297" t="s">
        <v>1525</v>
      </c>
      <c r="D54" s="298" t="s">
        <v>1526</v>
      </c>
      <c r="E54" s="326">
        <v>2258</v>
      </c>
      <c r="F54" s="38">
        <f t="shared" si="0"/>
        <v>1354.8</v>
      </c>
      <c r="G54" s="396">
        <f t="shared" si="1"/>
        <v>0</v>
      </c>
      <c r="H54" s="397">
        <f t="shared" si="2"/>
        <v>112.71935999999999</v>
      </c>
      <c r="I54" s="397">
        <f t="shared" si="3"/>
        <v>0</v>
      </c>
      <c r="J54" s="397">
        <f t="shared" si="4"/>
        <v>42.405239999999999</v>
      </c>
      <c r="K54" s="397">
        <f t="shared" si="5"/>
        <v>0</v>
      </c>
      <c r="L54" s="397">
        <f t="shared" si="6"/>
        <v>34.682879999999997</v>
      </c>
      <c r="M54" s="397">
        <f t="shared" si="7"/>
        <v>0</v>
      </c>
      <c r="N54" s="397">
        <f t="shared" si="8"/>
        <v>28.857239999999997</v>
      </c>
      <c r="O54" s="397">
        <f t="shared" si="9"/>
        <v>0</v>
      </c>
    </row>
    <row r="55" spans="1:16" s="291" customFormat="1" ht="22.5" customHeight="1" thickBot="1">
      <c r="A55" s="1086"/>
      <c r="B55" s="583"/>
      <c r="C55" s="297" t="s">
        <v>1527</v>
      </c>
      <c r="D55" s="298" t="s">
        <v>1528</v>
      </c>
      <c r="E55" s="326">
        <v>3750</v>
      </c>
      <c r="F55" s="38">
        <f t="shared" si="0"/>
        <v>2250</v>
      </c>
      <c r="G55" s="396">
        <f t="shared" si="1"/>
        <v>0</v>
      </c>
      <c r="H55" s="397">
        <f t="shared" si="2"/>
        <v>187.2</v>
      </c>
      <c r="I55" s="397">
        <f t="shared" si="3"/>
        <v>0</v>
      </c>
      <c r="J55" s="397">
        <f t="shared" si="4"/>
        <v>70.424999999999997</v>
      </c>
      <c r="K55" s="397">
        <f t="shared" si="5"/>
        <v>0</v>
      </c>
      <c r="L55" s="397">
        <f t="shared" si="6"/>
        <v>57.6</v>
      </c>
      <c r="M55" s="397">
        <f t="shared" si="7"/>
        <v>0</v>
      </c>
      <c r="N55" s="397">
        <f t="shared" si="8"/>
        <v>47.924999999999997</v>
      </c>
      <c r="O55" s="397">
        <f t="shared" si="9"/>
        <v>0</v>
      </c>
    </row>
    <row r="56" spans="1:16" s="291" customFormat="1" ht="22.5" customHeight="1" thickBot="1">
      <c r="A56" s="1086"/>
      <c r="B56" s="583"/>
      <c r="C56" s="297" t="s">
        <v>1529</v>
      </c>
      <c r="D56" s="298" t="s">
        <v>1530</v>
      </c>
      <c r="E56" s="326">
        <v>5241</v>
      </c>
      <c r="F56" s="38">
        <f t="shared" si="0"/>
        <v>3144.6</v>
      </c>
      <c r="G56" s="396">
        <f t="shared" si="1"/>
        <v>0</v>
      </c>
      <c r="H56" s="397">
        <f t="shared" si="2"/>
        <v>261.63072</v>
      </c>
      <c r="I56" s="397">
        <f t="shared" si="3"/>
        <v>0</v>
      </c>
      <c r="J56" s="397">
        <f t="shared" si="4"/>
        <v>98.425979999999996</v>
      </c>
      <c r="K56" s="397">
        <f t="shared" si="5"/>
        <v>0</v>
      </c>
      <c r="L56" s="397">
        <f t="shared" si="6"/>
        <v>80.501760000000004</v>
      </c>
      <c r="M56" s="397">
        <f t="shared" si="7"/>
        <v>0</v>
      </c>
      <c r="N56" s="397">
        <f t="shared" si="8"/>
        <v>66.979979999999998</v>
      </c>
      <c r="O56" s="397">
        <f t="shared" si="9"/>
        <v>0</v>
      </c>
    </row>
    <row r="57" spans="1:16" s="291" customFormat="1" ht="22.5" customHeight="1" thickBot="1">
      <c r="A57" s="1086"/>
      <c r="B57" s="583"/>
      <c r="C57" s="297" t="s">
        <v>1531</v>
      </c>
      <c r="D57" s="298" t="s">
        <v>1532</v>
      </c>
      <c r="E57" s="326">
        <v>5250.5375999999997</v>
      </c>
      <c r="F57" s="38">
        <f t="shared" si="0"/>
        <v>3150.3225599999996</v>
      </c>
      <c r="G57" s="396">
        <f t="shared" si="1"/>
        <v>0</v>
      </c>
      <c r="H57" s="397">
        <f t="shared" si="2"/>
        <v>262.10683699199996</v>
      </c>
      <c r="I57" s="397">
        <f t="shared" si="3"/>
        <v>0</v>
      </c>
      <c r="J57" s="397">
        <f t="shared" si="4"/>
        <v>98.605096127999985</v>
      </c>
      <c r="K57" s="397">
        <f t="shared" si="5"/>
        <v>0</v>
      </c>
      <c r="L57" s="397">
        <f t="shared" si="6"/>
        <v>80.648257535999988</v>
      </c>
      <c r="M57" s="397">
        <f t="shared" si="7"/>
        <v>0</v>
      </c>
      <c r="N57" s="397">
        <f t="shared" si="8"/>
        <v>67.101870527999992</v>
      </c>
      <c r="O57" s="397">
        <f t="shared" si="9"/>
        <v>0</v>
      </c>
    </row>
    <row r="58" spans="1:16" s="291" customFormat="1" ht="22.5" customHeight="1" thickBot="1">
      <c r="A58" s="1086"/>
      <c r="B58" s="583"/>
      <c r="C58" s="297" t="s">
        <v>1533</v>
      </c>
      <c r="D58" s="298" t="s">
        <v>1534</v>
      </c>
      <c r="E58" s="326">
        <v>1825.0255999999999</v>
      </c>
      <c r="F58" s="38">
        <f t="shared" si="0"/>
        <v>1095.0153599999999</v>
      </c>
      <c r="G58" s="396">
        <f t="shared" si="1"/>
        <v>0</v>
      </c>
      <c r="H58" s="397">
        <f t="shared" si="2"/>
        <v>91.10527795199998</v>
      </c>
      <c r="I58" s="397">
        <f t="shared" si="3"/>
        <v>0</v>
      </c>
      <c r="J58" s="397">
        <f t="shared" si="4"/>
        <v>34.273980767999994</v>
      </c>
      <c r="K58" s="397">
        <f t="shared" si="5"/>
        <v>0</v>
      </c>
      <c r="L58" s="397">
        <f t="shared" si="6"/>
        <v>28.032393215999999</v>
      </c>
      <c r="M58" s="397">
        <f t="shared" si="7"/>
        <v>0</v>
      </c>
      <c r="N58" s="397">
        <f t="shared" si="8"/>
        <v>23.323827167999998</v>
      </c>
      <c r="O58" s="397">
        <f t="shared" si="9"/>
        <v>0</v>
      </c>
    </row>
    <row r="59" spans="1:16" s="291" customFormat="1" ht="22.5" customHeight="1" thickBot="1">
      <c r="A59" s="1086"/>
      <c r="B59" s="583"/>
      <c r="C59" s="297" t="s">
        <v>1535</v>
      </c>
      <c r="D59" s="298" t="s">
        <v>1536</v>
      </c>
      <c r="E59" s="326">
        <v>471.62500000000011</v>
      </c>
      <c r="F59" s="38">
        <f t="shared" si="0"/>
        <v>282.97500000000008</v>
      </c>
      <c r="G59" s="396">
        <f t="shared" si="1"/>
        <v>0</v>
      </c>
      <c r="H59" s="397">
        <f t="shared" si="2"/>
        <v>23.543520000000004</v>
      </c>
      <c r="I59" s="397">
        <f t="shared" si="3"/>
        <v>0</v>
      </c>
      <c r="J59" s="397">
        <f t="shared" si="4"/>
        <v>8.8571175000000029</v>
      </c>
      <c r="K59" s="397">
        <f t="shared" si="5"/>
        <v>0</v>
      </c>
      <c r="L59" s="397">
        <f t="shared" si="6"/>
        <v>7.2441600000000026</v>
      </c>
      <c r="M59" s="397">
        <f t="shared" si="7"/>
        <v>0</v>
      </c>
      <c r="N59" s="397">
        <f t="shared" si="8"/>
        <v>6.0273675000000013</v>
      </c>
      <c r="O59" s="397">
        <f t="shared" si="9"/>
        <v>0</v>
      </c>
    </row>
    <row r="60" spans="1:16" s="315" customFormat="1" ht="22.5" customHeight="1" thickBot="1">
      <c r="A60" s="1086"/>
      <c r="B60" s="319"/>
      <c r="C60" s="297" t="s">
        <v>1537</v>
      </c>
      <c r="D60" s="298" t="s">
        <v>1538</v>
      </c>
      <c r="E60" s="326">
        <v>44.73</v>
      </c>
      <c r="F60" s="38">
        <f t="shared" si="0"/>
        <v>26.837999999999997</v>
      </c>
      <c r="G60" s="396">
        <f t="shared" si="1"/>
        <v>0</v>
      </c>
      <c r="H60" s="397">
        <f t="shared" si="2"/>
        <v>2.2329215999999996</v>
      </c>
      <c r="I60" s="397">
        <f t="shared" si="3"/>
        <v>0</v>
      </c>
      <c r="J60" s="397">
        <f t="shared" si="4"/>
        <v>0.84002939999999993</v>
      </c>
      <c r="K60" s="397">
        <f t="shared" si="5"/>
        <v>0</v>
      </c>
      <c r="L60" s="397">
        <f t="shared" si="6"/>
        <v>0.68705280000000002</v>
      </c>
      <c r="M60" s="397">
        <f t="shared" si="7"/>
        <v>0</v>
      </c>
      <c r="N60" s="397">
        <f t="shared" si="8"/>
        <v>0.57164939999999997</v>
      </c>
      <c r="O60" s="397">
        <f t="shared" si="9"/>
        <v>0</v>
      </c>
    </row>
    <row r="61" spans="1:16" s="519" customFormat="1" ht="22.5" customHeight="1" thickBot="1">
      <c r="A61" s="1086"/>
      <c r="B61" s="585"/>
      <c r="C61" s="297" t="s">
        <v>1484</v>
      </c>
      <c r="D61" s="298" t="s">
        <v>1539</v>
      </c>
      <c r="E61" s="326">
        <v>135.49</v>
      </c>
      <c r="F61" s="38">
        <f t="shared" si="0"/>
        <v>81.293999999999997</v>
      </c>
      <c r="G61" s="396">
        <f t="shared" si="1"/>
        <v>0</v>
      </c>
      <c r="H61" s="397">
        <f t="shared" si="2"/>
        <v>6.7636607999999994</v>
      </c>
      <c r="I61" s="397">
        <f t="shared" si="3"/>
        <v>0</v>
      </c>
      <c r="J61" s="397">
        <f t="shared" si="4"/>
        <v>2.5445022000000002</v>
      </c>
      <c r="K61" s="397">
        <f t="shared" si="5"/>
        <v>0</v>
      </c>
      <c r="L61" s="397">
        <f t="shared" si="6"/>
        <v>2.0811264</v>
      </c>
      <c r="M61" s="397">
        <f t="shared" si="7"/>
        <v>0</v>
      </c>
      <c r="N61" s="397">
        <f t="shared" si="8"/>
        <v>1.7315621999999999</v>
      </c>
      <c r="O61" s="397">
        <f t="shared" si="9"/>
        <v>0</v>
      </c>
    </row>
    <row r="62" spans="1:16" s="519" customFormat="1" ht="22.5" customHeight="1" thickBot="1">
      <c r="A62" s="1086"/>
      <c r="B62" s="585"/>
      <c r="C62" s="455" t="s">
        <v>1486</v>
      </c>
      <c r="D62" s="298" t="s">
        <v>1540</v>
      </c>
      <c r="E62" s="326">
        <v>147.91999999999999</v>
      </c>
      <c r="F62" s="38">
        <f t="shared" si="0"/>
        <v>88.751999999999995</v>
      </c>
      <c r="G62" s="396">
        <f t="shared" si="1"/>
        <v>0</v>
      </c>
      <c r="H62" s="397">
        <f t="shared" si="2"/>
        <v>7.3841663999999989</v>
      </c>
      <c r="I62" s="397">
        <f t="shared" si="3"/>
        <v>0</v>
      </c>
      <c r="J62" s="397">
        <f t="shared" si="4"/>
        <v>2.7779376</v>
      </c>
      <c r="K62" s="397">
        <f t="shared" si="5"/>
        <v>0</v>
      </c>
      <c r="L62" s="397">
        <f t="shared" si="6"/>
        <v>2.2720511999999999</v>
      </c>
      <c r="M62" s="397">
        <f t="shared" si="7"/>
        <v>0</v>
      </c>
      <c r="N62" s="397">
        <f t="shared" si="8"/>
        <v>1.8904175999999999</v>
      </c>
      <c r="O62" s="397">
        <f t="shared" si="9"/>
        <v>0</v>
      </c>
    </row>
    <row r="63" spans="1:16" s="524" customFormat="1" ht="22.5" customHeight="1" thickBot="1">
      <c r="A63" s="1086"/>
      <c r="B63" s="585"/>
      <c r="C63" s="297" t="s">
        <v>821</v>
      </c>
      <c r="D63" s="298" t="s">
        <v>1541</v>
      </c>
      <c r="E63" s="326">
        <v>482.9</v>
      </c>
      <c r="F63" s="38">
        <f t="shared" si="0"/>
        <v>289.73999999999995</v>
      </c>
      <c r="G63" s="396">
        <f t="shared" si="1"/>
        <v>0</v>
      </c>
      <c r="H63" s="397">
        <f t="shared" si="2"/>
        <v>24.106367999999996</v>
      </c>
      <c r="I63" s="397">
        <f t="shared" si="3"/>
        <v>0</v>
      </c>
      <c r="J63" s="397">
        <f t="shared" si="4"/>
        <v>9.0688619999999993</v>
      </c>
      <c r="K63" s="397">
        <f t="shared" si="5"/>
        <v>0</v>
      </c>
      <c r="L63" s="397">
        <f t="shared" si="6"/>
        <v>7.417343999999999</v>
      </c>
      <c r="M63" s="397">
        <f t="shared" si="7"/>
        <v>0</v>
      </c>
      <c r="N63" s="397">
        <f t="shared" si="8"/>
        <v>6.1714619999999991</v>
      </c>
      <c r="O63" s="397">
        <f t="shared" si="9"/>
        <v>0</v>
      </c>
    </row>
    <row r="64" spans="1:16" s="519" customFormat="1" ht="22.5" customHeight="1" thickBot="1">
      <c r="A64" s="1086"/>
      <c r="B64" s="585"/>
      <c r="C64" s="297" t="s">
        <v>1542</v>
      </c>
      <c r="D64" s="298" t="s">
        <v>1543</v>
      </c>
      <c r="E64" s="326">
        <v>542.53</v>
      </c>
      <c r="F64" s="38">
        <f t="shared" si="0"/>
        <v>325.51799999999997</v>
      </c>
      <c r="G64" s="396">
        <f t="shared" si="1"/>
        <v>0</v>
      </c>
      <c r="H64" s="397">
        <f t="shared" si="2"/>
        <v>27.083097599999995</v>
      </c>
      <c r="I64" s="397">
        <f t="shared" si="3"/>
        <v>0</v>
      </c>
      <c r="J64" s="397">
        <f t="shared" si="4"/>
        <v>10.188713399999999</v>
      </c>
      <c r="K64" s="397">
        <f t="shared" si="5"/>
        <v>0</v>
      </c>
      <c r="L64" s="397">
        <f t="shared" si="6"/>
        <v>8.3332607999999997</v>
      </c>
      <c r="M64" s="397">
        <f t="shared" si="7"/>
        <v>0</v>
      </c>
      <c r="N64" s="397">
        <f t="shared" si="8"/>
        <v>6.9335333999999991</v>
      </c>
      <c r="O64" s="397">
        <f t="shared" si="9"/>
        <v>0</v>
      </c>
    </row>
    <row r="65" spans="1:15" s="291" customFormat="1" ht="22.5" customHeight="1" thickBot="1">
      <c r="A65" s="1086"/>
      <c r="B65" s="583"/>
      <c r="C65" s="297" t="s">
        <v>1544</v>
      </c>
      <c r="D65" s="298" t="s">
        <v>1545</v>
      </c>
      <c r="E65" s="326">
        <v>371.67</v>
      </c>
      <c r="F65" s="38">
        <f t="shared" si="0"/>
        <v>223.00200000000001</v>
      </c>
      <c r="G65" s="396">
        <f t="shared" si="1"/>
        <v>0</v>
      </c>
      <c r="H65" s="397">
        <f t="shared" si="2"/>
        <v>18.553766400000001</v>
      </c>
      <c r="I65" s="397">
        <f t="shared" si="3"/>
        <v>0</v>
      </c>
      <c r="J65" s="397">
        <f t="shared" si="4"/>
        <v>6.9799626000000004</v>
      </c>
      <c r="K65" s="397">
        <f t="shared" si="5"/>
        <v>0</v>
      </c>
      <c r="L65" s="397">
        <f t="shared" si="6"/>
        <v>5.7088512000000007</v>
      </c>
      <c r="M65" s="397">
        <f t="shared" si="7"/>
        <v>0</v>
      </c>
      <c r="N65" s="397">
        <f t="shared" si="8"/>
        <v>4.7499425999999998</v>
      </c>
      <c r="O65" s="397">
        <f t="shared" si="9"/>
        <v>0</v>
      </c>
    </row>
    <row r="66" spans="1:15" s="291" customFormat="1" ht="22.5" customHeight="1" thickBot="1">
      <c r="A66" s="1086"/>
      <c r="B66" s="583"/>
      <c r="C66" s="297" t="s">
        <v>1546</v>
      </c>
      <c r="D66" s="298" t="s">
        <v>1547</v>
      </c>
      <c r="E66" s="326">
        <v>147.91999999999999</v>
      </c>
      <c r="F66" s="38">
        <f t="shared" si="0"/>
        <v>88.751999999999995</v>
      </c>
      <c r="G66" s="396">
        <f t="shared" si="1"/>
        <v>0</v>
      </c>
      <c r="H66" s="397">
        <f t="shared" si="2"/>
        <v>7.3841663999999989</v>
      </c>
      <c r="I66" s="397">
        <f t="shared" si="3"/>
        <v>0</v>
      </c>
      <c r="J66" s="397">
        <f t="shared" si="4"/>
        <v>2.7779376</v>
      </c>
      <c r="K66" s="397">
        <f t="shared" si="5"/>
        <v>0</v>
      </c>
      <c r="L66" s="397">
        <f t="shared" si="6"/>
        <v>2.2720511999999999</v>
      </c>
      <c r="M66" s="397">
        <f t="shared" si="7"/>
        <v>0</v>
      </c>
      <c r="N66" s="397">
        <f t="shared" si="8"/>
        <v>1.8904175999999999</v>
      </c>
      <c r="O66" s="397">
        <f t="shared" si="9"/>
        <v>0</v>
      </c>
    </row>
    <row r="67" spans="1:15" s="291" customFormat="1" ht="22.5" customHeight="1" thickBot="1">
      <c r="A67" s="1086"/>
      <c r="B67" s="583"/>
      <c r="C67" s="297" t="s">
        <v>796</v>
      </c>
      <c r="D67" s="298" t="s">
        <v>1548</v>
      </c>
      <c r="E67" s="326">
        <v>247.37</v>
      </c>
      <c r="F67" s="38">
        <f t="shared" si="0"/>
        <v>148.422</v>
      </c>
      <c r="G67" s="396">
        <f t="shared" si="1"/>
        <v>0</v>
      </c>
      <c r="H67" s="397">
        <f t="shared" si="2"/>
        <v>12.3487104</v>
      </c>
      <c r="I67" s="397">
        <f t="shared" si="3"/>
        <v>0</v>
      </c>
      <c r="J67" s="397">
        <f t="shared" si="4"/>
        <v>4.6456086000000001</v>
      </c>
      <c r="K67" s="397">
        <f t="shared" si="5"/>
        <v>0</v>
      </c>
      <c r="L67" s="397">
        <f t="shared" si="6"/>
        <v>3.7996032</v>
      </c>
      <c r="M67" s="397">
        <f t="shared" si="7"/>
        <v>0</v>
      </c>
      <c r="N67" s="397">
        <f t="shared" si="8"/>
        <v>3.1613886</v>
      </c>
      <c r="O67" s="397">
        <f t="shared" si="9"/>
        <v>0</v>
      </c>
    </row>
    <row r="68" spans="1:15" s="291" customFormat="1" ht="22.5" customHeight="1" thickBot="1">
      <c r="A68" s="1086"/>
      <c r="B68" s="583"/>
      <c r="C68" s="297" t="s">
        <v>823</v>
      </c>
      <c r="D68" s="298" t="s">
        <v>1549</v>
      </c>
      <c r="E68" s="326">
        <v>616.82000000000005</v>
      </c>
      <c r="F68" s="38">
        <f t="shared" si="0"/>
        <v>370.09200000000004</v>
      </c>
      <c r="G68" s="396">
        <f t="shared" si="1"/>
        <v>0</v>
      </c>
      <c r="H68" s="397">
        <f t="shared" si="2"/>
        <v>30.791654400000002</v>
      </c>
      <c r="I68" s="397">
        <f t="shared" si="3"/>
        <v>0</v>
      </c>
      <c r="J68" s="397">
        <f t="shared" si="4"/>
        <v>11.583879600000001</v>
      </c>
      <c r="K68" s="397">
        <f t="shared" si="5"/>
        <v>0</v>
      </c>
      <c r="L68" s="397">
        <f t="shared" si="6"/>
        <v>9.4743552000000015</v>
      </c>
      <c r="M68" s="397">
        <f t="shared" si="7"/>
        <v>0</v>
      </c>
      <c r="N68" s="397">
        <f t="shared" si="8"/>
        <v>7.8829596000000004</v>
      </c>
      <c r="O68" s="397">
        <f t="shared" si="9"/>
        <v>0</v>
      </c>
    </row>
    <row r="69" spans="1:15" s="291" customFormat="1" ht="22.5" customHeight="1" thickBot="1">
      <c r="A69" s="1086"/>
      <c r="B69" s="583"/>
      <c r="C69" s="297" t="s">
        <v>1550</v>
      </c>
      <c r="D69" s="298" t="s">
        <v>1551</v>
      </c>
      <c r="E69" s="326">
        <v>82.97</v>
      </c>
      <c r="F69" s="38">
        <f t="shared" si="0"/>
        <v>49.781999999999996</v>
      </c>
      <c r="G69" s="396">
        <f t="shared" si="1"/>
        <v>0</v>
      </c>
      <c r="H69" s="397">
        <f t="shared" si="2"/>
        <v>4.1418623999999999</v>
      </c>
      <c r="I69" s="397">
        <f t="shared" si="3"/>
        <v>0</v>
      </c>
      <c r="J69" s="397">
        <f t="shared" si="4"/>
        <v>1.5581765999999999</v>
      </c>
      <c r="K69" s="397">
        <f t="shared" si="5"/>
        <v>0</v>
      </c>
      <c r="L69" s="397">
        <f t="shared" si="6"/>
        <v>1.2744191999999999</v>
      </c>
      <c r="M69" s="397">
        <f t="shared" si="7"/>
        <v>0</v>
      </c>
      <c r="N69" s="397">
        <f t="shared" si="8"/>
        <v>1.0603566</v>
      </c>
      <c r="O69" s="397">
        <f t="shared" si="9"/>
        <v>0</v>
      </c>
    </row>
    <row r="70" spans="1:15" s="315" customFormat="1" ht="22.5" customHeight="1" thickBot="1">
      <c r="A70" s="1086"/>
      <c r="B70" s="319"/>
      <c r="C70" s="297" t="s">
        <v>1552</v>
      </c>
      <c r="D70" s="298" t="s">
        <v>1553</v>
      </c>
      <c r="E70" s="326">
        <v>114.8</v>
      </c>
      <c r="F70" s="38">
        <f t="shared" si="0"/>
        <v>68.88</v>
      </c>
      <c r="G70" s="396">
        <f t="shared" si="1"/>
        <v>0</v>
      </c>
      <c r="H70" s="397">
        <f t="shared" si="2"/>
        <v>5.730815999999999</v>
      </c>
      <c r="I70" s="397">
        <f t="shared" si="3"/>
        <v>0</v>
      </c>
      <c r="J70" s="397">
        <f t="shared" si="4"/>
        <v>2.1559439999999999</v>
      </c>
      <c r="K70" s="397">
        <f t="shared" si="5"/>
        <v>0</v>
      </c>
      <c r="L70" s="397">
        <f t="shared" si="6"/>
        <v>1.763328</v>
      </c>
      <c r="M70" s="397">
        <f t="shared" si="7"/>
        <v>0</v>
      </c>
      <c r="N70" s="397">
        <f t="shared" si="8"/>
        <v>1.4671439999999998</v>
      </c>
      <c r="O70" s="397">
        <f t="shared" si="9"/>
        <v>0</v>
      </c>
    </row>
    <row r="71" spans="1:15" s="519" customFormat="1" ht="22.5" customHeight="1" thickBot="1">
      <c r="A71" s="1086"/>
      <c r="B71" s="585"/>
      <c r="C71" s="297" t="s">
        <v>1554</v>
      </c>
      <c r="D71" s="298" t="s">
        <v>1555</v>
      </c>
      <c r="E71" s="326">
        <v>114.8</v>
      </c>
      <c r="F71" s="38">
        <f t="shared" si="0"/>
        <v>68.88</v>
      </c>
      <c r="G71" s="396">
        <f t="shared" si="1"/>
        <v>0</v>
      </c>
      <c r="H71" s="397">
        <f t="shared" si="2"/>
        <v>5.730815999999999</v>
      </c>
      <c r="I71" s="397">
        <f t="shared" si="3"/>
        <v>0</v>
      </c>
      <c r="J71" s="397">
        <f t="shared" si="4"/>
        <v>2.1559439999999999</v>
      </c>
      <c r="K71" s="397">
        <f t="shared" si="5"/>
        <v>0</v>
      </c>
      <c r="L71" s="397">
        <f t="shared" si="6"/>
        <v>1.763328</v>
      </c>
      <c r="M71" s="397">
        <f t="shared" si="7"/>
        <v>0</v>
      </c>
      <c r="N71" s="397">
        <f t="shared" si="8"/>
        <v>1.4671439999999998</v>
      </c>
      <c r="O71" s="397">
        <f t="shared" si="9"/>
        <v>0</v>
      </c>
    </row>
    <row r="72" spans="1:15" s="519" customFormat="1" ht="22.5" customHeight="1" thickBot="1">
      <c r="A72" s="1086"/>
      <c r="B72" s="585"/>
      <c r="C72" s="455" t="s">
        <v>1556</v>
      </c>
      <c r="D72" s="298" t="s">
        <v>1557</v>
      </c>
      <c r="E72" s="326">
        <v>114.8</v>
      </c>
      <c r="F72" s="38">
        <f t="shared" si="0"/>
        <v>68.88</v>
      </c>
      <c r="G72" s="396">
        <f t="shared" si="1"/>
        <v>0</v>
      </c>
      <c r="H72" s="397">
        <f t="shared" si="2"/>
        <v>5.730815999999999</v>
      </c>
      <c r="I72" s="397">
        <f t="shared" si="3"/>
        <v>0</v>
      </c>
      <c r="J72" s="397">
        <f t="shared" si="4"/>
        <v>2.1559439999999999</v>
      </c>
      <c r="K72" s="397">
        <f t="shared" si="5"/>
        <v>0</v>
      </c>
      <c r="L72" s="397">
        <f t="shared" si="6"/>
        <v>1.763328</v>
      </c>
      <c r="M72" s="397">
        <f t="shared" si="7"/>
        <v>0</v>
      </c>
      <c r="N72" s="397">
        <f t="shared" si="8"/>
        <v>1.4671439999999998</v>
      </c>
      <c r="O72" s="397">
        <f t="shared" si="9"/>
        <v>0</v>
      </c>
    </row>
    <row r="73" spans="1:15" s="524" customFormat="1" ht="22.5" customHeight="1" thickBot="1">
      <c r="A73" s="1086"/>
      <c r="B73" s="585"/>
      <c r="C73" s="297" t="s">
        <v>1558</v>
      </c>
      <c r="D73" s="298" t="s">
        <v>1559</v>
      </c>
      <c r="E73" s="326">
        <v>69.849999999999994</v>
      </c>
      <c r="F73" s="38">
        <f t="shared" si="0"/>
        <v>41.91</v>
      </c>
      <c r="G73" s="396">
        <f t="shared" si="1"/>
        <v>0</v>
      </c>
      <c r="H73" s="397">
        <f t="shared" si="2"/>
        <v>3.4869119999999993</v>
      </c>
      <c r="I73" s="397">
        <f t="shared" si="3"/>
        <v>0</v>
      </c>
      <c r="J73" s="397">
        <f t="shared" si="4"/>
        <v>1.3117829999999999</v>
      </c>
      <c r="K73" s="397">
        <f t="shared" si="5"/>
        <v>0</v>
      </c>
      <c r="L73" s="397">
        <f t="shared" si="6"/>
        <v>1.0728960000000001</v>
      </c>
      <c r="M73" s="397">
        <f t="shared" si="7"/>
        <v>0</v>
      </c>
      <c r="N73" s="397">
        <f t="shared" si="8"/>
        <v>0.89268299999999989</v>
      </c>
      <c r="O73" s="397">
        <f t="shared" si="9"/>
        <v>0</v>
      </c>
    </row>
    <row r="74" spans="1:15" s="519" customFormat="1" ht="22.5" customHeight="1" thickBot="1">
      <c r="A74" s="1086"/>
      <c r="B74" s="585"/>
      <c r="C74" s="297" t="s">
        <v>1560</v>
      </c>
      <c r="D74" s="298" t="s">
        <v>1561</v>
      </c>
      <c r="E74" s="326">
        <v>386</v>
      </c>
      <c r="F74" s="38">
        <f t="shared" si="0"/>
        <v>231.6</v>
      </c>
      <c r="G74" s="396">
        <f t="shared" si="1"/>
        <v>0</v>
      </c>
      <c r="H74" s="397">
        <f t="shared" si="2"/>
        <v>19.269119999999997</v>
      </c>
      <c r="I74" s="397">
        <f t="shared" si="3"/>
        <v>0</v>
      </c>
      <c r="J74" s="397">
        <f t="shared" si="4"/>
        <v>7.2490800000000002</v>
      </c>
      <c r="K74" s="397">
        <f t="shared" si="5"/>
        <v>0</v>
      </c>
      <c r="L74" s="397">
        <f t="shared" si="6"/>
        <v>5.92896</v>
      </c>
      <c r="M74" s="397">
        <f t="shared" si="7"/>
        <v>0</v>
      </c>
      <c r="N74" s="397">
        <f t="shared" si="8"/>
        <v>4.9330799999999995</v>
      </c>
      <c r="O74" s="397">
        <f t="shared" si="9"/>
        <v>0</v>
      </c>
    </row>
    <row r="75" spans="1:15" s="315" customFormat="1" ht="22.5" customHeight="1" thickBot="1">
      <c r="A75" s="1086"/>
      <c r="B75" s="319"/>
      <c r="C75" s="297" t="s">
        <v>1562</v>
      </c>
      <c r="D75" s="298" t="s">
        <v>1563</v>
      </c>
      <c r="E75" s="326">
        <v>99</v>
      </c>
      <c r="F75" s="38">
        <f t="shared" si="0"/>
        <v>59.4</v>
      </c>
      <c r="G75" s="396">
        <f>F75*B75</f>
        <v>0</v>
      </c>
      <c r="H75" s="397">
        <f t="shared" si="2"/>
        <v>4.9420799999999998</v>
      </c>
      <c r="I75" s="397">
        <f t="shared" si="3"/>
        <v>0</v>
      </c>
      <c r="J75" s="397">
        <f t="shared" si="4"/>
        <v>1.8592200000000001</v>
      </c>
      <c r="K75" s="397">
        <f t="shared" si="5"/>
        <v>0</v>
      </c>
      <c r="L75" s="397">
        <f t="shared" si="6"/>
        <v>1.52064</v>
      </c>
      <c r="M75" s="397">
        <f t="shared" si="7"/>
        <v>0</v>
      </c>
      <c r="N75" s="397">
        <f t="shared" si="8"/>
        <v>1.26522</v>
      </c>
      <c r="O75" s="397">
        <f t="shared" si="9"/>
        <v>0</v>
      </c>
    </row>
    <row r="76" spans="1:15" s="315" customFormat="1" ht="22.5" customHeight="1" thickBot="1">
      <c r="A76" s="1086"/>
      <c r="B76" s="319"/>
      <c r="C76" s="297" t="s">
        <v>1564</v>
      </c>
      <c r="D76" s="298" t="s">
        <v>1565</v>
      </c>
      <c r="E76" s="326">
        <v>19</v>
      </c>
      <c r="F76" s="594">
        <f t="shared" si="0"/>
        <v>11.4</v>
      </c>
      <c r="G76" s="396">
        <f t="shared" si="1"/>
        <v>0</v>
      </c>
      <c r="H76" s="397">
        <f t="shared" si="2"/>
        <v>0.94847999999999999</v>
      </c>
      <c r="I76" s="397">
        <f t="shared" si="3"/>
        <v>0</v>
      </c>
      <c r="J76" s="397">
        <f t="shared" si="4"/>
        <v>0.35682000000000003</v>
      </c>
      <c r="K76" s="397">
        <f t="shared" si="5"/>
        <v>0</v>
      </c>
      <c r="L76" s="397">
        <f t="shared" si="6"/>
        <v>0.29184000000000004</v>
      </c>
      <c r="M76" s="397">
        <f t="shared" si="7"/>
        <v>0</v>
      </c>
      <c r="N76" s="397">
        <f t="shared" si="8"/>
        <v>0.24282000000000001</v>
      </c>
      <c r="O76" s="397">
        <f t="shared" si="9"/>
        <v>0</v>
      </c>
    </row>
    <row r="77" spans="1:15" s="315" customFormat="1" ht="22.5" customHeight="1" thickBot="1">
      <c r="A77" s="1086"/>
      <c r="B77" s="319"/>
      <c r="C77" s="297" t="s">
        <v>1566</v>
      </c>
      <c r="D77" s="298" t="s">
        <v>1567</v>
      </c>
      <c r="E77" s="326">
        <v>126</v>
      </c>
      <c r="F77" s="38">
        <f t="shared" si="0"/>
        <v>75.599999999999994</v>
      </c>
      <c r="G77" s="396">
        <f t="shared" si="1"/>
        <v>0</v>
      </c>
      <c r="H77" s="397">
        <f t="shared" si="2"/>
        <v>6.2899199999999995</v>
      </c>
      <c r="I77" s="397">
        <f t="shared" si="3"/>
        <v>0</v>
      </c>
      <c r="J77" s="397">
        <f t="shared" si="4"/>
        <v>2.3662799999999997</v>
      </c>
      <c r="K77" s="397">
        <f t="shared" si="5"/>
        <v>0</v>
      </c>
      <c r="L77" s="397">
        <f t="shared" si="6"/>
        <v>1.93536</v>
      </c>
      <c r="M77" s="397">
        <f t="shared" si="7"/>
        <v>0</v>
      </c>
      <c r="N77" s="397">
        <f t="shared" si="8"/>
        <v>1.6102799999999999</v>
      </c>
      <c r="O77" s="397">
        <f t="shared" si="9"/>
        <v>0</v>
      </c>
    </row>
    <row r="78" spans="1:15" s="315" customFormat="1" ht="22.5" customHeight="1" thickBot="1">
      <c r="A78" s="1087"/>
      <c r="B78" s="319"/>
      <c r="C78" s="297" t="s">
        <v>1568</v>
      </c>
      <c r="D78" s="298" t="s">
        <v>1569</v>
      </c>
      <c r="E78" s="326">
        <v>12.09</v>
      </c>
      <c r="F78" s="38">
        <f t="shared" si="0"/>
        <v>7.2539999999999996</v>
      </c>
      <c r="G78" s="396">
        <f t="shared" si="1"/>
        <v>0</v>
      </c>
      <c r="H78" s="397">
        <f t="shared" si="2"/>
        <v>0.60353279999999998</v>
      </c>
      <c r="I78" s="397">
        <f t="shared" si="3"/>
        <v>0</v>
      </c>
      <c r="J78" s="397">
        <f t="shared" si="4"/>
        <v>0.22705020000000001</v>
      </c>
      <c r="K78" s="397">
        <f t="shared" si="5"/>
        <v>0</v>
      </c>
      <c r="L78" s="397">
        <f t="shared" si="6"/>
        <v>0.18570239999999999</v>
      </c>
      <c r="M78" s="397">
        <f t="shared" si="7"/>
        <v>0</v>
      </c>
      <c r="N78" s="397">
        <f t="shared" si="8"/>
        <v>0.15451019999999999</v>
      </c>
      <c r="O78" s="397">
        <f t="shared" si="9"/>
        <v>0</v>
      </c>
    </row>
    <row r="79" spans="1:15" s="315" customFormat="1" ht="15">
      <c r="C79" s="572"/>
      <c r="D79" s="1008" t="s">
        <v>65</v>
      </c>
      <c r="E79" s="1088"/>
      <c r="F79" s="1088"/>
      <c r="G79" s="520">
        <f t="array" ref="G79">SUM(G53:G78)+G44:G53:G78+G47:G53:G78+G50</f>
        <v>0</v>
      </c>
      <c r="H79" s="329" t="s">
        <v>66</v>
      </c>
      <c r="I79" s="520">
        <f t="array" ref="I79">SUM(I53:I78)+I44:I53:I78+I47:I53:I78+I50</f>
        <v>0</v>
      </c>
      <c r="J79" s="329" t="s">
        <v>67</v>
      </c>
      <c r="K79" s="520">
        <f t="array" ref="K79">SUM(K53:K78)+K44:K53:K78+K47:K53:K78+K50</f>
        <v>0</v>
      </c>
      <c r="L79" s="329" t="s">
        <v>68</v>
      </c>
      <c r="M79" s="520">
        <f t="array" ref="M79">SUM(M53:M78)+M44:M53:M78+M47:M53:M78+M50</f>
        <v>0</v>
      </c>
      <c r="N79" s="329" t="s">
        <v>69</v>
      </c>
      <c r="O79" s="520">
        <f t="array" ref="O79">SUM(O53:O78)+O44:O53:O78+O47:O53:O78+O50</f>
        <v>0</v>
      </c>
    </row>
    <row r="80" spans="1:15" s="315" customFormat="1" ht="14.25">
      <c r="C80" s="574"/>
      <c r="F80" s="456"/>
      <c r="G80" s="331"/>
    </row>
    <row r="81" spans="1:6" s="315" customFormat="1">
      <c r="C81" s="256"/>
      <c r="F81" s="456"/>
    </row>
    <row r="82" spans="1:6" ht="18">
      <c r="A82" s="595"/>
    </row>
    <row r="83" spans="1:6" ht="18">
      <c r="A83" s="595"/>
    </row>
    <row r="100" spans="3:3">
      <c r="C100" s="258"/>
    </row>
  </sheetData>
  <mergeCells count="78">
    <mergeCell ref="A28:D28"/>
    <mergeCell ref="E28:J28"/>
    <mergeCell ref="K28:O28"/>
    <mergeCell ref="A4:O4"/>
    <mergeCell ref="A5:O5"/>
    <mergeCell ref="F10:I10"/>
    <mergeCell ref="F24:G24"/>
    <mergeCell ref="A27:O27"/>
    <mergeCell ref="A30:C30"/>
    <mergeCell ref="E30:H30"/>
    <mergeCell ref="I30:J30"/>
    <mergeCell ref="K30:M30"/>
    <mergeCell ref="N30:O30"/>
    <mergeCell ref="A29:C29"/>
    <mergeCell ref="E29:H29"/>
    <mergeCell ref="I29:J29"/>
    <mergeCell ref="K29:M29"/>
    <mergeCell ref="N29:O29"/>
    <mergeCell ref="A32:C32"/>
    <mergeCell ref="E32:H32"/>
    <mergeCell ref="I32:J32"/>
    <mergeCell ref="K32:M32"/>
    <mergeCell ref="N32:O32"/>
    <mergeCell ref="A31:C31"/>
    <mergeCell ref="E31:H31"/>
    <mergeCell ref="I31:J31"/>
    <mergeCell ref="K31:M31"/>
    <mergeCell ref="N31:O31"/>
    <mergeCell ref="A34:C34"/>
    <mergeCell ref="E34:H34"/>
    <mergeCell ref="I34:J34"/>
    <mergeCell ref="K34:M34"/>
    <mergeCell ref="N34:O34"/>
    <mergeCell ref="A33:C33"/>
    <mergeCell ref="E33:H33"/>
    <mergeCell ref="I33:J33"/>
    <mergeCell ref="K33:M33"/>
    <mergeCell ref="N33:O33"/>
    <mergeCell ref="I42:O42"/>
    <mergeCell ref="A35:C35"/>
    <mergeCell ref="E35:H35"/>
    <mergeCell ref="I35:J35"/>
    <mergeCell ref="K35:M35"/>
    <mergeCell ref="N35:O35"/>
    <mergeCell ref="A36:C36"/>
    <mergeCell ref="E36:H36"/>
    <mergeCell ref="I36:J36"/>
    <mergeCell ref="K36:M36"/>
    <mergeCell ref="N36:O36"/>
    <mergeCell ref="A39:D39"/>
    <mergeCell ref="A40:C40"/>
    <mergeCell ref="A41:C41"/>
    <mergeCell ref="A42:C42"/>
    <mergeCell ref="F42:H42"/>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O50:O51"/>
    <mergeCell ref="A52:O52"/>
    <mergeCell ref="A53:A78"/>
    <mergeCell ref="D79:F79"/>
    <mergeCell ref="A50:A51"/>
    <mergeCell ref="B50:B51"/>
    <mergeCell ref="G50:G51"/>
    <mergeCell ref="I50:I51"/>
    <mergeCell ref="K50:K51"/>
    <mergeCell ref="M50:M51"/>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CCA9-6C16-4B1B-8DB4-38F22624EF5D}">
  <dimension ref="A1:L82"/>
  <sheetViews>
    <sheetView zoomScaleNormal="100" workbookViewId="0">
      <selection activeCell="K25" sqref="K25"/>
    </sheetView>
  </sheetViews>
  <sheetFormatPr defaultColWidth="33.7109375" defaultRowHeight="12.75"/>
  <cols>
    <col min="1" max="16384" width="33.7109375" style="912"/>
  </cols>
  <sheetData>
    <row r="1" spans="1:4" ht="45">
      <c r="A1" s="910" t="s">
        <v>1570</v>
      </c>
      <c r="B1" s="911" t="s">
        <v>1571</v>
      </c>
      <c r="C1" s="911" t="s">
        <v>1572</v>
      </c>
      <c r="D1" s="911" t="s">
        <v>1573</v>
      </c>
    </row>
    <row r="2" spans="1:4">
      <c r="B2" s="913"/>
      <c r="C2" s="460"/>
      <c r="D2" s="461"/>
    </row>
    <row r="3" spans="1:4" ht="25.5">
      <c r="A3" s="912" t="s">
        <v>1574</v>
      </c>
      <c r="B3" s="914">
        <v>799000</v>
      </c>
      <c r="C3" s="462">
        <v>7.3047559449311628E-2</v>
      </c>
      <c r="D3" s="462">
        <v>7.3047559449311628E-2</v>
      </c>
    </row>
    <row r="4" spans="1:4">
      <c r="B4" s="913"/>
      <c r="C4" s="462"/>
      <c r="D4" s="462"/>
    </row>
    <row r="5" spans="1:4">
      <c r="B5" s="913"/>
      <c r="C5" s="462"/>
      <c r="D5" s="462"/>
    </row>
    <row r="6" spans="1:4" ht="25.5">
      <c r="A6" s="912" t="s">
        <v>1575</v>
      </c>
      <c r="B6" s="914">
        <v>50000</v>
      </c>
      <c r="C6" s="462">
        <v>7.304759999999999E-2</v>
      </c>
      <c r="D6" s="462">
        <v>7.304759999999999E-2</v>
      </c>
    </row>
    <row r="7" spans="1:4" ht="25.5">
      <c r="A7" s="912" t="s">
        <v>1576</v>
      </c>
      <c r="B7" s="914">
        <v>90000</v>
      </c>
      <c r="C7" s="462">
        <v>7.3047555555555532E-2</v>
      </c>
      <c r="D7" s="463">
        <v>7.3047555555555532E-2</v>
      </c>
    </row>
    <row r="8" spans="1:4" ht="25.5">
      <c r="A8" s="912" t="s">
        <v>1577</v>
      </c>
      <c r="B8" s="914">
        <v>70000</v>
      </c>
      <c r="C8" s="462">
        <v>7.3047571428571434E-2</v>
      </c>
      <c r="D8" s="463">
        <v>7.3047571428571434E-2</v>
      </c>
    </row>
    <row r="9" spans="1:4">
      <c r="B9" s="913"/>
      <c r="C9" s="462"/>
      <c r="D9" s="463"/>
    </row>
    <row r="10" spans="1:4">
      <c r="B10" s="913"/>
      <c r="C10" s="462"/>
      <c r="D10" s="463"/>
    </row>
    <row r="11" spans="1:4">
      <c r="A11" s="912" t="s">
        <v>1578</v>
      </c>
      <c r="B11" s="914">
        <v>385</v>
      </c>
      <c r="C11" s="462">
        <v>7.3038961038961014E-2</v>
      </c>
      <c r="D11" s="463">
        <v>7.3038961038961014E-2</v>
      </c>
    </row>
    <row r="12" spans="1:4">
      <c r="A12" s="912" t="s">
        <v>1579</v>
      </c>
      <c r="B12" s="914">
        <v>8800</v>
      </c>
      <c r="C12" s="462">
        <v>7.3047727272727236E-2</v>
      </c>
      <c r="D12" s="463">
        <v>7.3047727272727236E-2</v>
      </c>
    </row>
    <row r="13" spans="1:4">
      <c r="A13" s="912" t="s">
        <v>1580</v>
      </c>
      <c r="B13" s="914">
        <v>8800</v>
      </c>
      <c r="C13" s="462">
        <v>7.3047727272727236E-2</v>
      </c>
      <c r="D13" s="463">
        <v>7.3047727272727236E-2</v>
      </c>
    </row>
    <row r="14" spans="1:4">
      <c r="A14" s="912" t="s">
        <v>1581</v>
      </c>
      <c r="B14" s="914">
        <v>8800</v>
      </c>
      <c r="C14" s="462">
        <v>7.3047727272727236E-2</v>
      </c>
      <c r="D14" s="463">
        <v>7.3047727272727236E-2</v>
      </c>
    </row>
    <row r="15" spans="1:4">
      <c r="A15" s="912" t="s">
        <v>1582</v>
      </c>
      <c r="B15" s="914">
        <v>8800</v>
      </c>
      <c r="C15" s="462">
        <v>7.3047727272727236E-2</v>
      </c>
      <c r="D15" s="463">
        <v>7.3047727272727236E-2</v>
      </c>
    </row>
    <row r="16" spans="1:4">
      <c r="A16" s="912" t="s">
        <v>1583</v>
      </c>
      <c r="B16" s="914">
        <v>128.75</v>
      </c>
      <c r="C16" s="462">
        <v>7.3009708737864165E-2</v>
      </c>
      <c r="D16" s="463">
        <v>7.3009708737864165E-2</v>
      </c>
    </row>
    <row r="17" spans="1:4" ht="25.5">
      <c r="A17" s="912" t="s">
        <v>1584</v>
      </c>
      <c r="B17" s="914">
        <v>599.27</v>
      </c>
      <c r="C17" s="462">
        <v>7.3055550920286261E-2</v>
      </c>
      <c r="D17" s="463">
        <v>7.3055550920286261E-2</v>
      </c>
    </row>
    <row r="18" spans="1:4">
      <c r="A18" s="912" t="s">
        <v>1585</v>
      </c>
      <c r="B18" s="914">
        <v>749.09</v>
      </c>
      <c r="C18" s="462">
        <v>7.3048632340573239E-2</v>
      </c>
      <c r="D18" s="463">
        <v>7.3048632340573239E-2</v>
      </c>
    </row>
    <row r="19" spans="1:4" ht="25.5">
      <c r="A19" s="912" t="s">
        <v>1586</v>
      </c>
      <c r="B19" s="914">
        <v>51.5</v>
      </c>
      <c r="C19" s="462">
        <v>7.3009708737864054E-2</v>
      </c>
      <c r="D19" s="463">
        <v>7.3009708737864054E-2</v>
      </c>
    </row>
    <row r="20" spans="1:4" ht="25.5">
      <c r="A20" s="912" t="s">
        <v>1587</v>
      </c>
      <c r="B20" s="914">
        <v>51.5</v>
      </c>
      <c r="C20" s="462">
        <v>7.3009708737864054E-2</v>
      </c>
      <c r="D20" s="463">
        <v>7.3009708737864054E-2</v>
      </c>
    </row>
    <row r="21" spans="1:4" ht="15">
      <c r="B21" s="913"/>
      <c r="C21" s="464"/>
      <c r="D21" s="465"/>
    </row>
    <row r="22" spans="1:4" ht="15">
      <c r="B22" s="913"/>
      <c r="C22" s="465"/>
      <c r="D22" s="465"/>
    </row>
    <row r="23" spans="1:4" ht="25.5">
      <c r="A23" s="912" t="s">
        <v>1588</v>
      </c>
      <c r="B23" s="914">
        <v>9363.64</v>
      </c>
      <c r="C23" s="466">
        <v>7.3047447360214623E-2</v>
      </c>
      <c r="D23" s="466">
        <v>7.3047447360214623E-2</v>
      </c>
    </row>
    <row r="24" spans="1:4">
      <c r="A24" s="912" t="s">
        <v>1589</v>
      </c>
      <c r="B24" s="914">
        <v>9363.64</v>
      </c>
      <c r="C24" s="466">
        <v>7.3047447360214623E-2</v>
      </c>
      <c r="D24" s="466">
        <v>7.3047447360214623E-2</v>
      </c>
    </row>
    <row r="25" spans="1:4" ht="15">
      <c r="B25" s="913"/>
      <c r="C25" s="465"/>
      <c r="D25" s="465"/>
    </row>
    <row r="26" spans="1:4" ht="15">
      <c r="B26" s="913"/>
      <c r="C26" s="465"/>
      <c r="D26" s="465"/>
    </row>
    <row r="27" spans="1:4">
      <c r="A27" s="912" t="s">
        <v>1590</v>
      </c>
      <c r="B27" s="914">
        <v>1</v>
      </c>
      <c r="C27" s="466">
        <v>0</v>
      </c>
      <c r="D27" s="466">
        <v>0</v>
      </c>
    </row>
    <row r="28" spans="1:4" ht="38.25">
      <c r="A28" s="912" t="s">
        <v>1591</v>
      </c>
      <c r="B28" s="914">
        <v>7500</v>
      </c>
      <c r="C28" s="466">
        <v>0</v>
      </c>
      <c r="D28" s="466">
        <v>0</v>
      </c>
    </row>
    <row r="29" spans="1:4" ht="38.25">
      <c r="A29" s="912" t="s">
        <v>1592</v>
      </c>
      <c r="B29" s="914">
        <v>7500</v>
      </c>
      <c r="C29" s="466">
        <v>0</v>
      </c>
      <c r="D29" s="466">
        <v>0</v>
      </c>
    </row>
    <row r="30" spans="1:4" ht="15">
      <c r="A30" s="912" t="s">
        <v>1593</v>
      </c>
      <c r="B30" s="914">
        <v>0</v>
      </c>
      <c r="C30" s="465"/>
      <c r="D30" s="465"/>
    </row>
    <row r="31" spans="1:4" ht="15">
      <c r="B31" s="913"/>
      <c r="C31" s="465"/>
      <c r="D31" s="465"/>
    </row>
    <row r="32" spans="1:4" ht="15">
      <c r="B32" s="913"/>
      <c r="C32" s="465"/>
      <c r="D32" s="465"/>
    </row>
    <row r="33" spans="1:12" ht="25.5">
      <c r="A33" s="912" t="s">
        <v>1594</v>
      </c>
      <c r="B33" s="914">
        <v>1</v>
      </c>
      <c r="C33" s="466">
        <v>0</v>
      </c>
      <c r="D33" s="466">
        <v>0</v>
      </c>
    </row>
    <row r="34" spans="1:12" ht="25.5">
      <c r="A34" s="912" t="s">
        <v>1595</v>
      </c>
      <c r="B34" s="914">
        <v>1</v>
      </c>
      <c r="C34" s="466">
        <v>0</v>
      </c>
      <c r="D34" s="466">
        <v>0</v>
      </c>
    </row>
    <row r="35" spans="1:12">
      <c r="A35" s="912" t="s">
        <v>1596</v>
      </c>
      <c r="B35" s="914">
        <v>12000</v>
      </c>
      <c r="C35" s="466">
        <v>0</v>
      </c>
      <c r="D35" s="466">
        <v>0</v>
      </c>
    </row>
    <row r="36" spans="1:12" ht="15">
      <c r="B36" s="913"/>
      <c r="C36" s="465"/>
      <c r="D36" s="465"/>
    </row>
    <row r="37" spans="1:12" ht="15">
      <c r="B37" s="913"/>
      <c r="C37" s="465"/>
      <c r="D37" s="465"/>
    </row>
    <row r="38" spans="1:12">
      <c r="B38" s="913"/>
      <c r="C38" s="467"/>
      <c r="D38" s="467"/>
    </row>
    <row r="39" spans="1:12">
      <c r="B39" s="913"/>
      <c r="C39" s="457"/>
      <c r="D39" s="457"/>
      <c r="L39" s="912">
        <f>F39*0.0256</f>
        <v>0</v>
      </c>
    </row>
    <row r="40" spans="1:12" ht="25.5">
      <c r="A40" s="912" t="s">
        <v>1597</v>
      </c>
      <c r="B40" s="914">
        <v>1100000</v>
      </c>
      <c r="C40" s="468">
        <v>7.3047563636363555E-2</v>
      </c>
      <c r="D40" s="457">
        <v>7.3047563636363555E-2</v>
      </c>
    </row>
    <row r="41" spans="1:12">
      <c r="B41" s="913"/>
      <c r="C41" s="458"/>
      <c r="D41" s="458"/>
    </row>
    <row r="42" spans="1:12">
      <c r="B42" s="913"/>
      <c r="C42" s="457"/>
      <c r="D42" s="457"/>
    </row>
    <row r="43" spans="1:12" ht="38.25">
      <c r="A43" s="912" t="s">
        <v>1598</v>
      </c>
      <c r="B43" s="914">
        <v>70000</v>
      </c>
      <c r="C43" s="469">
        <v>7.3047571428571434E-2</v>
      </c>
      <c r="D43" s="470">
        <v>7.3047571428571434E-2</v>
      </c>
    </row>
    <row r="44" spans="1:12" ht="25.5">
      <c r="A44" s="912" t="s">
        <v>1599</v>
      </c>
      <c r="B44" s="914">
        <v>110000</v>
      </c>
      <c r="C44" s="469">
        <v>7.3047545454545393E-2</v>
      </c>
      <c r="D44" s="470">
        <v>7.3047545454545393E-2</v>
      </c>
    </row>
    <row r="45" spans="1:12" ht="25.5">
      <c r="A45" s="912" t="s">
        <v>1600</v>
      </c>
      <c r="B45" s="914">
        <v>70000</v>
      </c>
      <c r="C45" s="469">
        <v>7.3047571428571434E-2</v>
      </c>
      <c r="D45" s="470">
        <v>7.3047571428571434E-2</v>
      </c>
    </row>
    <row r="46" spans="1:12" ht="25.5">
      <c r="A46" s="912" t="s">
        <v>1601</v>
      </c>
      <c r="B46" s="914">
        <v>45000</v>
      </c>
      <c r="C46" s="469">
        <v>7.3047555555555532E-2</v>
      </c>
      <c r="D46" s="470">
        <v>7.3047555555555532E-2</v>
      </c>
    </row>
    <row r="47" spans="1:12" ht="25.5">
      <c r="A47" s="912" t="s">
        <v>1602</v>
      </c>
      <c r="B47" s="914">
        <v>250000</v>
      </c>
      <c r="C47" s="469">
        <v>7.3047560000000011E-2</v>
      </c>
      <c r="D47" s="470">
        <v>7.3047560000000011E-2</v>
      </c>
    </row>
    <row r="48" spans="1:12" ht="25.5">
      <c r="A48" s="912" t="s">
        <v>1603</v>
      </c>
      <c r="B48" s="914">
        <v>130000</v>
      </c>
      <c r="C48" s="469">
        <v>7.3047538461538442E-2</v>
      </c>
      <c r="D48" s="470">
        <v>7.3047538461538442E-2</v>
      </c>
    </row>
    <row r="49" spans="1:4" ht="25.5">
      <c r="A49" s="912" t="s">
        <v>1604</v>
      </c>
      <c r="B49" s="914">
        <v>70000</v>
      </c>
      <c r="C49" s="469">
        <v>7.3047571428571434E-2</v>
      </c>
      <c r="D49" s="470">
        <v>7.3047571428571434E-2</v>
      </c>
    </row>
    <row r="50" spans="1:4">
      <c r="B50" s="913"/>
      <c r="C50" s="459"/>
      <c r="D50" s="459"/>
    </row>
    <row r="51" spans="1:4">
      <c r="B51" s="913"/>
      <c r="C51" s="457"/>
      <c r="D51" s="457"/>
    </row>
    <row r="52" spans="1:4">
      <c r="A52" s="912" t="s">
        <v>1578</v>
      </c>
      <c r="B52" s="914">
        <v>385</v>
      </c>
      <c r="C52" s="469">
        <v>7.3038961038961014E-2</v>
      </c>
      <c r="D52" s="470">
        <v>7.3038961038961014E-2</v>
      </c>
    </row>
    <row r="53" spans="1:4">
      <c r="A53" s="912" t="s">
        <v>1579</v>
      </c>
      <c r="B53" s="914">
        <v>8800</v>
      </c>
      <c r="C53" s="469">
        <v>7.3047727272727236E-2</v>
      </c>
      <c r="D53" s="470">
        <v>7.3047727272727236E-2</v>
      </c>
    </row>
    <row r="54" spans="1:4">
      <c r="A54" s="912" t="s">
        <v>1580</v>
      </c>
      <c r="B54" s="914">
        <v>8800</v>
      </c>
      <c r="C54" s="469">
        <v>7.3047727272727236E-2</v>
      </c>
      <c r="D54" s="470">
        <v>7.3047727272727236E-2</v>
      </c>
    </row>
    <row r="55" spans="1:4">
      <c r="A55" s="912" t="s">
        <v>1581</v>
      </c>
      <c r="B55" s="914">
        <v>8800</v>
      </c>
      <c r="C55" s="469">
        <v>7.3047727272727236E-2</v>
      </c>
      <c r="D55" s="470">
        <v>7.3047727272727236E-2</v>
      </c>
    </row>
    <row r="56" spans="1:4">
      <c r="A56" s="912" t="s">
        <v>1582</v>
      </c>
      <c r="B56" s="914">
        <v>8800</v>
      </c>
      <c r="C56" s="469">
        <v>7.3047727272727236E-2</v>
      </c>
      <c r="D56" s="470">
        <v>7.3047727272727236E-2</v>
      </c>
    </row>
    <row r="57" spans="1:4">
      <c r="A57" s="912" t="s">
        <v>1583</v>
      </c>
      <c r="B57" s="914">
        <v>128.75</v>
      </c>
      <c r="C57" s="469">
        <v>7.3009708737864165E-2</v>
      </c>
      <c r="D57" s="470">
        <v>7.3009708737864165E-2</v>
      </c>
    </row>
    <row r="58" spans="1:4" ht="25.5">
      <c r="A58" s="912" t="s">
        <v>1584</v>
      </c>
      <c r="B58" s="914">
        <v>599.27</v>
      </c>
      <c r="C58" s="469">
        <v>7.3055550920286261E-2</v>
      </c>
      <c r="D58" s="470">
        <v>7.3055550920286261E-2</v>
      </c>
    </row>
    <row r="59" spans="1:4">
      <c r="A59" s="912" t="s">
        <v>1605</v>
      </c>
      <c r="B59" s="914">
        <v>936.36</v>
      </c>
      <c r="C59" s="469">
        <v>7.3048827374086911E-2</v>
      </c>
      <c r="D59" s="470">
        <v>7.3048827374086911E-2</v>
      </c>
    </row>
    <row r="60" spans="1:4" ht="25.5">
      <c r="A60" s="912" t="s">
        <v>1606</v>
      </c>
      <c r="B60" s="914">
        <v>64.38</v>
      </c>
      <c r="C60" s="469">
        <v>7.300403852127979E-2</v>
      </c>
      <c r="D60" s="470">
        <v>7.300403852127979E-2</v>
      </c>
    </row>
    <row r="61" spans="1:4" ht="25.5">
      <c r="A61" s="912" t="s">
        <v>1607</v>
      </c>
      <c r="B61" s="914">
        <v>64.38</v>
      </c>
      <c r="C61" s="469">
        <v>7.300403852127979E-2</v>
      </c>
      <c r="D61" s="470">
        <v>7.300403852127979E-2</v>
      </c>
    </row>
    <row r="62" spans="1:4" ht="25.5">
      <c r="A62" s="912" t="s">
        <v>1608</v>
      </c>
      <c r="B62" s="914">
        <v>128.75</v>
      </c>
      <c r="C62" s="469">
        <v>7.3009708737864165E-2</v>
      </c>
      <c r="D62" s="470">
        <v>7.3009708737864165E-2</v>
      </c>
    </row>
    <row r="63" spans="1:4">
      <c r="B63" s="913"/>
      <c r="C63" s="459"/>
      <c r="D63" s="459"/>
    </row>
    <row r="64" spans="1:4">
      <c r="B64" s="913"/>
      <c r="C64" s="457"/>
      <c r="D64" s="457"/>
    </row>
    <row r="65" spans="1:4" ht="25.5">
      <c r="A65" s="912" t="s">
        <v>1588</v>
      </c>
      <c r="B65" s="914">
        <v>9363.64</v>
      </c>
      <c r="C65" s="468">
        <v>7.3047447360214623E-2</v>
      </c>
      <c r="D65" s="457">
        <v>7.3047447360214623E-2</v>
      </c>
    </row>
    <row r="66" spans="1:4">
      <c r="A66" s="912" t="s">
        <v>1589</v>
      </c>
      <c r="B66" s="914">
        <v>9363.64</v>
      </c>
      <c r="C66" s="468">
        <v>7.3047447360214623E-2</v>
      </c>
      <c r="D66" s="457">
        <v>7.3047447360214623E-2</v>
      </c>
    </row>
    <row r="67" spans="1:4">
      <c r="B67" s="913"/>
      <c r="C67" s="457"/>
      <c r="D67" s="457"/>
    </row>
    <row r="68" spans="1:4">
      <c r="B68" s="913"/>
      <c r="C68" s="457"/>
      <c r="D68" s="457"/>
    </row>
    <row r="69" spans="1:4">
      <c r="A69" s="912" t="s">
        <v>1590</v>
      </c>
      <c r="B69" s="914">
        <v>1</v>
      </c>
      <c r="C69" s="469">
        <v>0</v>
      </c>
      <c r="D69" s="470">
        <v>0</v>
      </c>
    </row>
    <row r="70" spans="1:4" ht="38.25">
      <c r="A70" s="912" t="s">
        <v>1591</v>
      </c>
      <c r="B70" s="914">
        <v>7500</v>
      </c>
      <c r="C70" s="469">
        <v>0</v>
      </c>
      <c r="D70" s="470">
        <v>0</v>
      </c>
    </row>
    <row r="71" spans="1:4" ht="38.25">
      <c r="A71" s="912" t="s">
        <v>1592</v>
      </c>
      <c r="B71" s="914">
        <v>7500</v>
      </c>
      <c r="C71" s="469">
        <v>0</v>
      </c>
      <c r="D71" s="470">
        <v>0</v>
      </c>
    </row>
    <row r="72" spans="1:4">
      <c r="A72" s="912" t="s">
        <v>1593</v>
      </c>
      <c r="B72" s="914">
        <v>0</v>
      </c>
      <c r="C72" s="469"/>
      <c r="D72" s="470"/>
    </row>
    <row r="73" spans="1:4">
      <c r="B73" s="913"/>
      <c r="C73" s="470"/>
      <c r="D73" s="470"/>
    </row>
    <row r="74" spans="1:4">
      <c r="B74" s="913"/>
      <c r="C74" s="457"/>
      <c r="D74" s="457"/>
    </row>
    <row r="75" spans="1:4" ht="25.5">
      <c r="A75" s="912" t="s">
        <v>1594</v>
      </c>
      <c r="B75" s="914">
        <v>1</v>
      </c>
      <c r="C75" s="469">
        <v>0</v>
      </c>
      <c r="D75" s="470">
        <v>0</v>
      </c>
    </row>
    <row r="76" spans="1:4" ht="25.5">
      <c r="A76" s="912" t="s">
        <v>1595</v>
      </c>
      <c r="B76" s="914">
        <v>1</v>
      </c>
      <c r="C76" s="469">
        <v>0</v>
      </c>
      <c r="D76" s="470">
        <v>0</v>
      </c>
    </row>
    <row r="77" spans="1:4">
      <c r="A77" s="912" t="s">
        <v>1609</v>
      </c>
      <c r="B77" s="914">
        <v>15000</v>
      </c>
      <c r="C77" s="469">
        <v>0</v>
      </c>
      <c r="D77" s="470">
        <v>0</v>
      </c>
    </row>
    <row r="78" spans="1:4">
      <c r="B78" s="913"/>
      <c r="C78" s="913"/>
      <c r="D78" s="467"/>
    </row>
    <row r="79" spans="1:4">
      <c r="B79" s="913"/>
      <c r="C79" s="913"/>
      <c r="D79" s="467"/>
    </row>
    <row r="80" spans="1:4">
      <c r="B80" s="913"/>
      <c r="C80" s="913"/>
      <c r="D80" s="467"/>
    </row>
    <row r="81" spans="2:4">
      <c r="B81" s="913"/>
      <c r="C81" s="913"/>
      <c r="D81" s="467"/>
    </row>
    <row r="82" spans="2:4">
      <c r="B82" s="913"/>
      <c r="C82" s="913"/>
      <c r="D82" s="467"/>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C9E7-E6AC-4EEA-BE03-28059E621ADD}">
  <sheetPr>
    <tabColor rgb="FFD07C00"/>
  </sheetPr>
  <dimension ref="A1:L39"/>
  <sheetViews>
    <sheetView zoomScaleNormal="100" workbookViewId="0">
      <selection activeCell="K25" sqref="K25"/>
    </sheetView>
  </sheetViews>
  <sheetFormatPr defaultColWidth="8.85546875" defaultRowHeight="15"/>
  <cols>
    <col min="1" max="16384" width="8.85546875" style="133"/>
  </cols>
  <sheetData>
    <row r="1" spans="1:10" ht="17.649999999999999" customHeight="1">
      <c r="A1" s="1354"/>
      <c r="B1" s="1354"/>
      <c r="C1" s="1354"/>
      <c r="D1" s="1354"/>
      <c r="E1" s="1354"/>
      <c r="F1" s="1354"/>
      <c r="G1" s="1354"/>
      <c r="H1" s="1354"/>
      <c r="I1" s="1354"/>
      <c r="J1" s="1354"/>
    </row>
    <row r="39" spans="12:12">
      <c r="L39" s="133">
        <f>F39*0.0256</f>
        <v>0</v>
      </c>
    </row>
  </sheetData>
  <mergeCells count="1">
    <mergeCell ref="A1:J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legacyDrawing r:id="rId3"/>
  <oleObjects>
    <mc:AlternateContent xmlns:mc="http://schemas.openxmlformats.org/markup-compatibility/2006">
      <mc:Choice Requires="x14">
        <oleObject progId="Packager Shell Object" shapeId="676865" r:id="rId4">
          <objectPr defaultSize="0" autoPict="0" r:id="rId5">
            <anchor moveWithCells="1">
              <from>
                <xdr:col>3</xdr:col>
                <xdr:colOff>0</xdr:colOff>
                <xdr:row>3</xdr:row>
                <xdr:rowOff>0</xdr:rowOff>
              </from>
              <to>
                <xdr:col>9</xdr:col>
                <xdr:colOff>0</xdr:colOff>
                <xdr:row>15</xdr:row>
                <xdr:rowOff>0</xdr:rowOff>
              </to>
            </anchor>
          </objectPr>
        </oleObject>
      </mc:Choice>
      <mc:Fallback>
        <oleObject progId="Packager Shell Object" shapeId="676865"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9152-538F-4913-8D72-B5E388C00A0C}">
  <sheetPr>
    <tabColor rgb="FF7030A0"/>
  </sheetPr>
  <dimension ref="A1:L237"/>
  <sheetViews>
    <sheetView zoomScale="75" zoomScaleNormal="75" workbookViewId="0">
      <selection activeCell="K25" sqref="K25"/>
    </sheetView>
  </sheetViews>
  <sheetFormatPr defaultColWidth="8.85546875" defaultRowHeight="12.75"/>
  <cols>
    <col min="1" max="2" width="88" style="256" bestFit="1" customWidth="1"/>
    <col min="3" max="3" width="23.28515625" style="256" bestFit="1" customWidth="1"/>
    <col min="4" max="4" width="11.7109375" style="256" bestFit="1" customWidth="1"/>
    <col min="5" max="5" width="15.7109375" style="256" customWidth="1"/>
    <col min="6" max="6" width="14.7109375" style="333" customWidth="1"/>
    <col min="7" max="7" width="17.7109375" style="332" customWidth="1"/>
    <col min="8" max="8" width="20.28515625" style="256" bestFit="1" customWidth="1"/>
    <col min="9" max="9" width="14.140625" style="256" customWidth="1"/>
    <col min="10" max="10" width="20.28515625" style="256" bestFit="1" customWidth="1"/>
    <col min="11" max="11" width="14.140625" style="256" customWidth="1"/>
    <col min="12" max="12" width="20.28515625" style="256" bestFit="1" customWidth="1"/>
    <col min="13" max="13" width="14.7109375" style="256" customWidth="1"/>
    <col min="14" max="14" width="20.28515625" style="256" bestFit="1" customWidth="1"/>
    <col min="15" max="16384" width="8.85546875" style="256"/>
  </cols>
  <sheetData>
    <row r="1" spans="1:4" ht="31.15" customHeight="1">
      <c r="A1" s="1357" t="s">
        <v>1610</v>
      </c>
      <c r="B1" s="1357"/>
      <c r="C1" s="1357"/>
      <c r="D1" s="1357"/>
    </row>
    <row r="2" spans="1:4" ht="155.65" customHeight="1">
      <c r="A2" s="1358" t="s">
        <v>1611</v>
      </c>
      <c r="B2" s="1358"/>
      <c r="C2" s="1358"/>
      <c r="D2" s="1358"/>
    </row>
    <row r="3" spans="1:4" ht="12.75" customHeight="1">
      <c r="A3" s="444" t="s">
        <v>1612</v>
      </c>
      <c r="B3" s="630"/>
      <c r="C3" s="630"/>
      <c r="D3" s="630"/>
    </row>
    <row r="4" spans="1:4" ht="12.75" customHeight="1">
      <c r="A4" s="1355" t="s">
        <v>1613</v>
      </c>
      <c r="B4" s="1356"/>
      <c r="C4" s="1356"/>
      <c r="D4" s="1356"/>
    </row>
    <row r="5" spans="1:4" ht="12.75" customHeight="1">
      <c r="A5" s="916" t="s">
        <v>1614</v>
      </c>
      <c r="B5" s="916" t="s">
        <v>1614</v>
      </c>
      <c r="C5" s="916" t="s">
        <v>1615</v>
      </c>
      <c r="D5" s="715">
        <v>170</v>
      </c>
    </row>
    <row r="6" spans="1:4" ht="12.75" customHeight="1">
      <c r="A6" s="916" t="s">
        <v>1616</v>
      </c>
      <c r="B6" s="916" t="s">
        <v>1616</v>
      </c>
      <c r="C6" s="916" t="s">
        <v>1617</v>
      </c>
      <c r="D6" s="715">
        <v>70</v>
      </c>
    </row>
    <row r="7" spans="1:4" ht="12.75" customHeight="1">
      <c r="A7" s="916" t="s">
        <v>1618</v>
      </c>
      <c r="B7" s="916" t="s">
        <v>1618</v>
      </c>
      <c r="C7" s="916" t="s">
        <v>1619</v>
      </c>
      <c r="D7" s="715">
        <v>1300</v>
      </c>
    </row>
    <row r="8" spans="1:4" ht="12.75" customHeight="1">
      <c r="A8" s="916" t="s">
        <v>1620</v>
      </c>
      <c r="B8" s="916" t="s">
        <v>1620</v>
      </c>
      <c r="C8" s="916" t="s">
        <v>1621</v>
      </c>
      <c r="D8" s="715">
        <v>155</v>
      </c>
    </row>
    <row r="9" spans="1:4" ht="12.75" customHeight="1">
      <c r="A9" s="916" t="s">
        <v>1622</v>
      </c>
      <c r="B9" s="916" t="s">
        <v>1622</v>
      </c>
      <c r="C9" s="916" t="s">
        <v>1623</v>
      </c>
      <c r="D9" s="715">
        <v>80</v>
      </c>
    </row>
    <row r="10" spans="1:4" ht="12.75" customHeight="1">
      <c r="A10" s="916" t="s">
        <v>1624</v>
      </c>
      <c r="B10" s="916" t="s">
        <v>1624</v>
      </c>
      <c r="C10" s="916" t="s">
        <v>1625</v>
      </c>
      <c r="D10" s="715">
        <v>1600</v>
      </c>
    </row>
    <row r="11" spans="1:4" ht="12.75" customHeight="1">
      <c r="A11" s="916" t="s">
        <v>1626</v>
      </c>
      <c r="B11" s="916" t="s">
        <v>1626</v>
      </c>
      <c r="C11" s="916" t="s">
        <v>1627</v>
      </c>
      <c r="D11" s="715">
        <v>0.7</v>
      </c>
    </row>
    <row r="12" spans="1:4" ht="12.75" customHeight="1">
      <c r="A12" s="916" t="s">
        <v>1628</v>
      </c>
      <c r="B12" s="916" t="s">
        <v>1628</v>
      </c>
      <c r="C12" s="916" t="s">
        <v>1629</v>
      </c>
      <c r="D12" s="715">
        <v>1650</v>
      </c>
    </row>
    <row r="13" spans="1:4" ht="12.75" customHeight="1">
      <c r="A13" s="916" t="s">
        <v>1630</v>
      </c>
      <c r="B13" s="916" t="s">
        <v>1630</v>
      </c>
      <c r="C13" s="916" t="s">
        <v>1631</v>
      </c>
      <c r="D13" s="715">
        <v>2400</v>
      </c>
    </row>
    <row r="14" spans="1:4" ht="12.75" customHeight="1">
      <c r="A14" s="916" t="s">
        <v>1632</v>
      </c>
      <c r="B14" s="916" t="s">
        <v>1632</v>
      </c>
      <c r="C14" s="916" t="s">
        <v>1633</v>
      </c>
      <c r="D14" s="715">
        <v>3300</v>
      </c>
    </row>
    <row r="15" spans="1:4" ht="12.75" customHeight="1">
      <c r="A15" s="916" t="s">
        <v>1634</v>
      </c>
      <c r="B15" s="916" t="s">
        <v>1634</v>
      </c>
      <c r="C15" s="916" t="s">
        <v>1635</v>
      </c>
      <c r="D15" s="715">
        <v>330</v>
      </c>
    </row>
    <row r="16" spans="1:4" ht="12.75" customHeight="1">
      <c r="A16" s="916" t="s">
        <v>1636</v>
      </c>
      <c r="B16" s="916" t="s">
        <v>1636</v>
      </c>
      <c r="C16" s="916" t="s">
        <v>1637</v>
      </c>
      <c r="D16" s="715">
        <v>460</v>
      </c>
    </row>
    <row r="17" spans="1:4" ht="12.75" customHeight="1">
      <c r="A17" s="916" t="s">
        <v>1638</v>
      </c>
      <c r="B17" s="916" t="s">
        <v>1638</v>
      </c>
      <c r="C17" s="916" t="s">
        <v>1639</v>
      </c>
      <c r="D17" s="715">
        <v>75</v>
      </c>
    </row>
    <row r="18" spans="1:4" ht="12.75" customHeight="1">
      <c r="A18" s="916" t="s">
        <v>1640</v>
      </c>
      <c r="B18" s="916" t="s">
        <v>1640</v>
      </c>
      <c r="C18" s="916" t="s">
        <v>1641</v>
      </c>
      <c r="D18" s="715">
        <v>100</v>
      </c>
    </row>
    <row r="19" spans="1:4" ht="12.75" customHeight="1">
      <c r="A19" s="916" t="s">
        <v>1642</v>
      </c>
      <c r="B19" s="916" t="s">
        <v>1642</v>
      </c>
      <c r="C19" s="916" t="s">
        <v>1643</v>
      </c>
      <c r="D19" s="715">
        <v>590</v>
      </c>
    </row>
    <row r="20" spans="1:4" ht="12.75" customHeight="1">
      <c r="A20" s="916" t="s">
        <v>1644</v>
      </c>
      <c r="B20" s="916" t="s">
        <v>1644</v>
      </c>
      <c r="C20" s="916" t="s">
        <v>1645</v>
      </c>
      <c r="D20" s="715">
        <v>325</v>
      </c>
    </row>
    <row r="21" spans="1:4" ht="12.75" customHeight="1">
      <c r="A21" s="916" t="s">
        <v>1646</v>
      </c>
      <c r="B21" s="916" t="s">
        <v>1646</v>
      </c>
      <c r="C21" s="916" t="s">
        <v>1647</v>
      </c>
      <c r="D21" s="715">
        <v>475</v>
      </c>
    </row>
    <row r="22" spans="1:4" ht="12.75" customHeight="1">
      <c r="A22" s="916" t="s">
        <v>1648</v>
      </c>
      <c r="B22" s="916" t="s">
        <v>1648</v>
      </c>
      <c r="C22" s="916" t="s">
        <v>1649</v>
      </c>
      <c r="D22" s="715">
        <v>30</v>
      </c>
    </row>
    <row r="23" spans="1:4" ht="12.75" customHeight="1">
      <c r="A23" s="916" t="s">
        <v>1650</v>
      </c>
      <c r="B23" s="916" t="s">
        <v>1650</v>
      </c>
      <c r="C23" s="916" t="s">
        <v>1651</v>
      </c>
      <c r="D23" s="715">
        <v>285</v>
      </c>
    </row>
    <row r="24" spans="1:4" ht="12.75" customHeight="1">
      <c r="A24" s="916" t="s">
        <v>1652</v>
      </c>
      <c r="B24" s="916" t="s">
        <v>1652</v>
      </c>
      <c r="C24" s="916" t="s">
        <v>1653</v>
      </c>
      <c r="D24" s="715">
        <v>4900</v>
      </c>
    </row>
    <row r="25" spans="1:4" ht="12.75" customHeight="1">
      <c r="A25" s="916" t="s">
        <v>1654</v>
      </c>
      <c r="B25" s="916" t="s">
        <v>1654</v>
      </c>
      <c r="C25" s="916" t="s">
        <v>1655</v>
      </c>
      <c r="D25" s="715">
        <v>6200</v>
      </c>
    </row>
    <row r="26" spans="1:4" ht="12.75" customHeight="1">
      <c r="A26" s="916" t="s">
        <v>1656</v>
      </c>
      <c r="B26" s="916" t="s">
        <v>1656</v>
      </c>
      <c r="C26" s="916" t="s">
        <v>1657</v>
      </c>
      <c r="D26" s="715">
        <v>520</v>
      </c>
    </row>
    <row r="27" spans="1:4" ht="12.75" customHeight="1">
      <c r="A27" s="916" t="s">
        <v>1658</v>
      </c>
      <c r="B27" s="916" t="s">
        <v>1658</v>
      </c>
      <c r="C27" s="916" t="s">
        <v>1659</v>
      </c>
      <c r="D27" s="715">
        <v>2100</v>
      </c>
    </row>
    <row r="28" spans="1:4" ht="12.75" customHeight="1">
      <c r="A28" s="1355" t="s">
        <v>1660</v>
      </c>
      <c r="B28" s="1356"/>
      <c r="C28" s="1356"/>
      <c r="D28" s="1356"/>
    </row>
    <row r="29" spans="1:4" ht="12.75" customHeight="1">
      <c r="A29" s="916" t="s">
        <v>1661</v>
      </c>
      <c r="B29" s="916" t="s">
        <v>1661</v>
      </c>
      <c r="C29" s="916" t="s">
        <v>1662</v>
      </c>
      <c r="D29" s="715">
        <v>625</v>
      </c>
    </row>
    <row r="30" spans="1:4" ht="12.75" customHeight="1">
      <c r="A30" s="916" t="s">
        <v>1663</v>
      </c>
      <c r="B30" s="916" t="s">
        <v>1663</v>
      </c>
      <c r="C30" s="916" t="s">
        <v>1664</v>
      </c>
      <c r="D30" s="715">
        <v>413</v>
      </c>
    </row>
    <row r="31" spans="1:4" ht="12.75" customHeight="1">
      <c r="A31" s="916" t="s">
        <v>1665</v>
      </c>
      <c r="B31" s="916" t="s">
        <v>1665</v>
      </c>
      <c r="C31" s="916" t="s">
        <v>1666</v>
      </c>
      <c r="D31" s="715">
        <v>255</v>
      </c>
    </row>
    <row r="32" spans="1:4" ht="12.75" customHeight="1">
      <c r="A32" s="916" t="s">
        <v>1667</v>
      </c>
      <c r="B32" s="916" t="s">
        <v>1667</v>
      </c>
      <c r="C32" s="916" t="s">
        <v>1668</v>
      </c>
      <c r="D32" s="715">
        <v>250</v>
      </c>
    </row>
    <row r="33" spans="1:12" ht="12.75" customHeight="1">
      <c r="A33" s="916" t="s">
        <v>1669</v>
      </c>
      <c r="B33" s="916" t="s">
        <v>1669</v>
      </c>
      <c r="C33" s="916" t="s">
        <v>1670</v>
      </c>
      <c r="D33" s="715">
        <v>357</v>
      </c>
    </row>
    <row r="34" spans="1:12" ht="12.75" customHeight="1">
      <c r="A34" s="916" t="s">
        <v>1671</v>
      </c>
      <c r="B34" s="916" t="s">
        <v>1671</v>
      </c>
      <c r="C34" s="916" t="s">
        <v>1672</v>
      </c>
      <c r="D34" s="715">
        <v>304</v>
      </c>
    </row>
    <row r="35" spans="1:12" ht="12.75" customHeight="1">
      <c r="A35" s="916" t="s">
        <v>1673</v>
      </c>
      <c r="B35" s="916" t="s">
        <v>1673</v>
      </c>
      <c r="C35" s="916" t="s">
        <v>1674</v>
      </c>
      <c r="D35" s="715">
        <v>245</v>
      </c>
    </row>
    <row r="36" spans="1:12" ht="12.75" customHeight="1">
      <c r="A36" s="916" t="s">
        <v>1675</v>
      </c>
      <c r="B36" s="916" t="s">
        <v>1675</v>
      </c>
      <c r="C36" s="916" t="s">
        <v>1676</v>
      </c>
      <c r="D36" s="715">
        <v>750</v>
      </c>
    </row>
    <row r="37" spans="1:12" ht="12.75" customHeight="1">
      <c r="A37" s="916" t="s">
        <v>1677</v>
      </c>
      <c r="B37" s="916" t="s">
        <v>1677</v>
      </c>
      <c r="C37" s="916" t="s">
        <v>1678</v>
      </c>
      <c r="D37" s="715">
        <v>2100</v>
      </c>
    </row>
    <row r="38" spans="1:12" ht="12.75" customHeight="1">
      <c r="A38" s="916" t="s">
        <v>1679</v>
      </c>
      <c r="B38" s="916" t="s">
        <v>1679</v>
      </c>
      <c r="C38" s="916" t="s">
        <v>1680</v>
      </c>
      <c r="D38" s="715">
        <v>1300</v>
      </c>
    </row>
    <row r="39" spans="1:12" ht="12.75" customHeight="1">
      <c r="A39" s="916" t="s">
        <v>1681</v>
      </c>
      <c r="B39" s="916" t="s">
        <v>1681</v>
      </c>
      <c r="C39" s="916" t="s">
        <v>1682</v>
      </c>
      <c r="D39" s="715">
        <v>1</v>
      </c>
      <c r="L39" s="859">
        <f>F39*0.0256</f>
        <v>0</v>
      </c>
    </row>
    <row r="40" spans="1:12" ht="12.75" customHeight="1">
      <c r="A40" s="916" t="s">
        <v>1683</v>
      </c>
      <c r="B40" s="916" t="s">
        <v>1683</v>
      </c>
      <c r="C40" s="916" t="s">
        <v>1684</v>
      </c>
      <c r="D40" s="715">
        <v>551</v>
      </c>
    </row>
    <row r="41" spans="1:12" ht="12.75" customHeight="1">
      <c r="A41" s="916" t="s">
        <v>1685</v>
      </c>
      <c r="B41" s="916" t="s">
        <v>1685</v>
      </c>
      <c r="C41" s="916" t="s">
        <v>1686</v>
      </c>
      <c r="D41" s="715">
        <v>380</v>
      </c>
    </row>
    <row r="42" spans="1:12" ht="12.75" customHeight="1">
      <c r="A42" s="916" t="s">
        <v>1687</v>
      </c>
      <c r="B42" s="916" t="s">
        <v>1687</v>
      </c>
      <c r="C42" s="916" t="s">
        <v>1688</v>
      </c>
      <c r="D42" s="715">
        <v>238</v>
      </c>
    </row>
    <row r="43" spans="1:12" ht="12.75" customHeight="1">
      <c r="A43" s="916" t="s">
        <v>1689</v>
      </c>
      <c r="B43" s="916" t="s">
        <v>1689</v>
      </c>
      <c r="C43" s="916" t="s">
        <v>1690</v>
      </c>
      <c r="D43" s="715">
        <v>233</v>
      </c>
    </row>
    <row r="44" spans="1:12" ht="12.75" customHeight="1">
      <c r="A44" s="916" t="s">
        <v>1691</v>
      </c>
      <c r="B44" s="916" t="s">
        <v>1691</v>
      </c>
      <c r="C44" s="916" t="s">
        <v>1692</v>
      </c>
      <c r="D44" s="715">
        <v>328</v>
      </c>
    </row>
    <row r="45" spans="1:12" ht="12.75" customHeight="1">
      <c r="A45" s="916" t="s">
        <v>1693</v>
      </c>
      <c r="B45" s="916" t="s">
        <v>1693</v>
      </c>
      <c r="C45" s="916" t="s">
        <v>1694</v>
      </c>
      <c r="D45" s="715">
        <v>286</v>
      </c>
    </row>
    <row r="46" spans="1:12" ht="12.75" customHeight="1">
      <c r="A46" s="916" t="s">
        <v>1695</v>
      </c>
      <c r="B46" s="916" t="s">
        <v>1695</v>
      </c>
      <c r="C46" s="916" t="s">
        <v>1696</v>
      </c>
      <c r="D46" s="715">
        <v>228</v>
      </c>
    </row>
    <row r="47" spans="1:12" ht="12.75" customHeight="1">
      <c r="A47" s="916" t="s">
        <v>1697</v>
      </c>
      <c r="B47" s="916" t="s">
        <v>1697</v>
      </c>
      <c r="C47" s="916" t="s">
        <v>1698</v>
      </c>
      <c r="D47" s="715">
        <v>600</v>
      </c>
    </row>
    <row r="48" spans="1:12" ht="12.75" customHeight="1">
      <c r="A48" s="916" t="s">
        <v>1699</v>
      </c>
      <c r="B48" s="916" t="s">
        <v>1699</v>
      </c>
      <c r="C48" s="916" t="s">
        <v>1700</v>
      </c>
      <c r="D48" s="715">
        <v>1800</v>
      </c>
    </row>
    <row r="49" spans="1:4" ht="12.75" customHeight="1">
      <c r="A49" s="916" t="s">
        <v>1701</v>
      </c>
      <c r="B49" s="916" t="s">
        <v>1701</v>
      </c>
      <c r="C49" s="916" t="s">
        <v>1702</v>
      </c>
      <c r="D49" s="715">
        <v>1000</v>
      </c>
    </row>
    <row r="50" spans="1:4" ht="12.75" customHeight="1">
      <c r="A50" s="916" t="s">
        <v>1703</v>
      </c>
      <c r="B50" s="916" t="s">
        <v>1703</v>
      </c>
      <c r="C50" s="916" t="s">
        <v>1704</v>
      </c>
      <c r="D50" s="715">
        <v>1</v>
      </c>
    </row>
    <row r="51" spans="1:4" ht="12.75" customHeight="1">
      <c r="A51" s="916" t="s">
        <v>1705</v>
      </c>
      <c r="B51" s="916" t="s">
        <v>1705</v>
      </c>
      <c r="C51" s="916" t="s">
        <v>1706</v>
      </c>
      <c r="D51" s="715">
        <v>130</v>
      </c>
    </row>
    <row r="52" spans="1:4" ht="12.75" customHeight="1">
      <c r="A52" s="1355" t="s">
        <v>1707</v>
      </c>
      <c r="B52" s="1356"/>
      <c r="C52" s="1356"/>
      <c r="D52" s="1356"/>
    </row>
    <row r="53" spans="1:4" ht="12.75" customHeight="1">
      <c r="A53" s="916" t="s">
        <v>1708</v>
      </c>
      <c r="B53" s="916" t="s">
        <v>1708</v>
      </c>
      <c r="C53" s="916" t="s">
        <v>1709</v>
      </c>
      <c r="D53" s="715">
        <v>0.2</v>
      </c>
    </row>
    <row r="54" spans="1:4">
      <c r="A54" s="916" t="s">
        <v>1710</v>
      </c>
      <c r="B54" s="916" t="s">
        <v>1710</v>
      </c>
      <c r="C54" s="916" t="s">
        <v>1711</v>
      </c>
      <c r="D54" s="715">
        <v>0.4</v>
      </c>
    </row>
    <row r="55" spans="1:4">
      <c r="A55" s="916" t="s">
        <v>1712</v>
      </c>
      <c r="B55" s="916" t="s">
        <v>1712</v>
      </c>
      <c r="C55" s="916" t="s">
        <v>1713</v>
      </c>
      <c r="D55" s="715">
        <v>0.45</v>
      </c>
    </row>
    <row r="56" spans="1:4">
      <c r="A56" s="916" t="s">
        <v>1714</v>
      </c>
      <c r="B56" s="916" t="s">
        <v>1714</v>
      </c>
      <c r="C56" s="916" t="s">
        <v>1715</v>
      </c>
      <c r="D56" s="715">
        <v>0.6</v>
      </c>
    </row>
    <row r="57" spans="1:4">
      <c r="A57" s="916" t="s">
        <v>1716</v>
      </c>
      <c r="B57" s="916" t="s">
        <v>1716</v>
      </c>
      <c r="C57" s="916" t="s">
        <v>1717</v>
      </c>
      <c r="D57" s="715">
        <v>0.75</v>
      </c>
    </row>
    <row r="58" spans="1:4">
      <c r="A58" s="916" t="s">
        <v>1718</v>
      </c>
      <c r="B58" s="916" t="s">
        <v>1718</v>
      </c>
      <c r="C58" s="916" t="s">
        <v>1719</v>
      </c>
      <c r="D58" s="715">
        <v>250</v>
      </c>
    </row>
    <row r="59" spans="1:4">
      <c r="A59" s="916" t="s">
        <v>1720</v>
      </c>
      <c r="B59" s="916" t="s">
        <v>1720</v>
      </c>
      <c r="C59" s="916" t="s">
        <v>1721</v>
      </c>
      <c r="D59" s="715">
        <v>0.3</v>
      </c>
    </row>
    <row r="60" spans="1:4">
      <c r="A60" s="916" t="s">
        <v>1722</v>
      </c>
      <c r="B60" s="916" t="s">
        <v>1722</v>
      </c>
      <c r="C60" s="916" t="s">
        <v>1723</v>
      </c>
      <c r="D60" s="715">
        <v>0.6</v>
      </c>
    </row>
    <row r="61" spans="1:4">
      <c r="A61" s="916" t="s">
        <v>1724</v>
      </c>
      <c r="B61" s="916" t="s">
        <v>1724</v>
      </c>
      <c r="C61" s="916" t="s">
        <v>1725</v>
      </c>
      <c r="D61" s="715">
        <v>0.75</v>
      </c>
    </row>
    <row r="62" spans="1:4">
      <c r="A62" s="916" t="s">
        <v>1726</v>
      </c>
      <c r="B62" s="916" t="s">
        <v>1726</v>
      </c>
      <c r="C62" s="916" t="s">
        <v>1727</v>
      </c>
      <c r="D62" s="715">
        <v>1</v>
      </c>
    </row>
    <row r="63" spans="1:4">
      <c r="A63" s="916" t="s">
        <v>1728</v>
      </c>
      <c r="B63" s="916" t="s">
        <v>1728</v>
      </c>
      <c r="C63" s="916" t="s">
        <v>1729</v>
      </c>
      <c r="D63" s="715">
        <v>1.25</v>
      </c>
    </row>
    <row r="64" spans="1:4">
      <c r="A64" s="916" t="s">
        <v>1730</v>
      </c>
      <c r="B64" s="916" t="s">
        <v>1730</v>
      </c>
      <c r="C64" s="916" t="s">
        <v>1731</v>
      </c>
      <c r="D64" s="715">
        <v>0.2</v>
      </c>
    </row>
    <row r="65" spans="1:4">
      <c r="A65" s="916" t="s">
        <v>1732</v>
      </c>
      <c r="B65" s="916" t="s">
        <v>1732</v>
      </c>
      <c r="C65" s="916" t="s">
        <v>1733</v>
      </c>
      <c r="D65" s="715">
        <v>0.4</v>
      </c>
    </row>
    <row r="66" spans="1:4">
      <c r="A66" s="916" t="s">
        <v>1734</v>
      </c>
      <c r="B66" s="916" t="s">
        <v>1734</v>
      </c>
      <c r="C66" s="916" t="s">
        <v>1735</v>
      </c>
      <c r="D66" s="715">
        <v>0.6</v>
      </c>
    </row>
    <row r="67" spans="1:4">
      <c r="A67" s="916" t="s">
        <v>1736</v>
      </c>
      <c r="B67" s="916" t="s">
        <v>1736</v>
      </c>
      <c r="C67" s="916" t="s">
        <v>1737</v>
      </c>
      <c r="D67" s="715">
        <v>0.8</v>
      </c>
    </row>
    <row r="68" spans="1:4">
      <c r="A68" s="916" t="s">
        <v>1738</v>
      </c>
      <c r="B68" s="916" t="s">
        <v>1738</v>
      </c>
      <c r="C68" s="916" t="s">
        <v>1739</v>
      </c>
      <c r="D68" s="715">
        <v>1</v>
      </c>
    </row>
    <row r="69" spans="1:4">
      <c r="A69" s="916" t="s">
        <v>1740</v>
      </c>
      <c r="B69" s="916" t="s">
        <v>1740</v>
      </c>
      <c r="C69" s="916" t="s">
        <v>1741</v>
      </c>
      <c r="D69" s="715">
        <v>375</v>
      </c>
    </row>
    <row r="70" spans="1:4">
      <c r="A70" s="916" t="s">
        <v>1742</v>
      </c>
      <c r="B70" s="916" t="s">
        <v>1742</v>
      </c>
      <c r="C70" s="916" t="s">
        <v>1743</v>
      </c>
      <c r="D70" s="715">
        <v>300</v>
      </c>
    </row>
    <row r="71" spans="1:4">
      <c r="A71" s="916" t="s">
        <v>1744</v>
      </c>
      <c r="B71" s="916" t="s">
        <v>1744</v>
      </c>
      <c r="C71" s="916" t="s">
        <v>1745</v>
      </c>
      <c r="D71" s="715">
        <v>0.02</v>
      </c>
    </row>
    <row r="72" spans="1:4">
      <c r="A72" s="916" t="s">
        <v>1746</v>
      </c>
      <c r="B72" s="916" t="s">
        <v>1746</v>
      </c>
      <c r="C72" s="916" t="s">
        <v>1747</v>
      </c>
      <c r="D72" s="715">
        <v>0.18</v>
      </c>
    </row>
    <row r="73" spans="1:4">
      <c r="A73" s="916" t="s">
        <v>1748</v>
      </c>
      <c r="B73" s="916" t="s">
        <v>1748</v>
      </c>
      <c r="C73" s="916" t="s">
        <v>1749</v>
      </c>
      <c r="D73" s="715">
        <v>0.19</v>
      </c>
    </row>
    <row r="74" spans="1:4">
      <c r="A74" s="916" t="s">
        <v>1750</v>
      </c>
      <c r="B74" s="916" t="s">
        <v>1750</v>
      </c>
      <c r="C74" s="916" t="s">
        <v>1751</v>
      </c>
      <c r="D74" s="715">
        <v>0.04</v>
      </c>
    </row>
    <row r="75" spans="1:4">
      <c r="A75" s="916" t="s">
        <v>1752</v>
      </c>
      <c r="B75" s="916" t="s">
        <v>1752</v>
      </c>
      <c r="C75" s="916" t="s">
        <v>1753</v>
      </c>
      <c r="D75" s="715">
        <v>0.06</v>
      </c>
    </row>
    <row r="76" spans="1:4">
      <c r="A76" s="916" t="s">
        <v>1754</v>
      </c>
      <c r="B76" s="916" t="s">
        <v>1754</v>
      </c>
      <c r="C76" s="916" t="s">
        <v>1755</v>
      </c>
      <c r="D76" s="715">
        <v>0.08</v>
      </c>
    </row>
    <row r="77" spans="1:4">
      <c r="A77" s="916" t="s">
        <v>1756</v>
      </c>
      <c r="B77" s="916" t="s">
        <v>1756</v>
      </c>
      <c r="C77" s="916" t="s">
        <v>1757</v>
      </c>
      <c r="D77" s="715">
        <v>0.1</v>
      </c>
    </row>
    <row r="78" spans="1:4">
      <c r="A78" s="916" t="s">
        <v>1758</v>
      </c>
      <c r="B78" s="916" t="s">
        <v>1758</v>
      </c>
      <c r="C78" s="916" t="s">
        <v>1759</v>
      </c>
      <c r="D78" s="715">
        <v>0.12</v>
      </c>
    </row>
    <row r="79" spans="1:4">
      <c r="A79" s="916" t="s">
        <v>1760</v>
      </c>
      <c r="B79" s="916" t="s">
        <v>1760</v>
      </c>
      <c r="C79" s="916" t="s">
        <v>1761</v>
      </c>
      <c r="D79" s="715">
        <v>0.14000000000000001</v>
      </c>
    </row>
    <row r="80" spans="1:4">
      <c r="A80" s="916" t="s">
        <v>1762</v>
      </c>
      <c r="B80" s="916" t="s">
        <v>1762</v>
      </c>
      <c r="C80" s="916" t="s">
        <v>1763</v>
      </c>
      <c r="D80" s="715">
        <v>0.16</v>
      </c>
    </row>
    <row r="81" spans="1:4">
      <c r="A81" s="916" t="s">
        <v>1764</v>
      </c>
      <c r="B81" s="916" t="s">
        <v>1764</v>
      </c>
      <c r="C81" s="916" t="s">
        <v>1765</v>
      </c>
      <c r="D81" s="715">
        <v>0.17</v>
      </c>
    </row>
    <row r="82" spans="1:4">
      <c r="A82" s="916" t="s">
        <v>1766</v>
      </c>
      <c r="B82" s="916" t="s">
        <v>1766</v>
      </c>
      <c r="C82" s="916" t="s">
        <v>1767</v>
      </c>
      <c r="D82" s="715">
        <v>0.03</v>
      </c>
    </row>
    <row r="83" spans="1:4">
      <c r="A83" s="916" t="s">
        <v>1768</v>
      </c>
      <c r="B83" s="916" t="s">
        <v>1768</v>
      </c>
      <c r="C83" s="916" t="s">
        <v>1769</v>
      </c>
      <c r="D83" s="715">
        <v>0.25</v>
      </c>
    </row>
    <row r="84" spans="1:4">
      <c r="A84" s="916" t="s">
        <v>1770</v>
      </c>
      <c r="B84" s="916" t="s">
        <v>1770</v>
      </c>
      <c r="C84" s="916" t="s">
        <v>1771</v>
      </c>
      <c r="D84" s="715">
        <v>0.28000000000000003</v>
      </c>
    </row>
    <row r="85" spans="1:4">
      <c r="A85" s="916" t="s">
        <v>1772</v>
      </c>
      <c r="B85" s="916" t="s">
        <v>1772</v>
      </c>
      <c r="C85" s="916" t="s">
        <v>1773</v>
      </c>
      <c r="D85" s="715">
        <v>0.05</v>
      </c>
    </row>
    <row r="86" spans="1:4">
      <c r="A86" s="916" t="s">
        <v>1774</v>
      </c>
      <c r="B86" s="916" t="s">
        <v>1774</v>
      </c>
      <c r="C86" s="916" t="s">
        <v>1775</v>
      </c>
      <c r="D86" s="715">
        <v>0.08</v>
      </c>
    </row>
    <row r="87" spans="1:4">
      <c r="A87" s="916" t="s">
        <v>1776</v>
      </c>
      <c r="B87" s="916" t="s">
        <v>1776</v>
      </c>
      <c r="C87" s="916" t="s">
        <v>1777</v>
      </c>
      <c r="D87" s="715">
        <v>0.1</v>
      </c>
    </row>
    <row r="88" spans="1:4">
      <c r="A88" s="916" t="s">
        <v>1778</v>
      </c>
      <c r="B88" s="916" t="s">
        <v>1778</v>
      </c>
      <c r="C88" s="916" t="s">
        <v>1779</v>
      </c>
      <c r="D88" s="715">
        <v>0.13</v>
      </c>
    </row>
    <row r="89" spans="1:4">
      <c r="A89" s="916" t="s">
        <v>1780</v>
      </c>
      <c r="B89" s="916" t="s">
        <v>1780</v>
      </c>
      <c r="C89" s="916" t="s">
        <v>1781</v>
      </c>
      <c r="D89" s="715">
        <v>0.15</v>
      </c>
    </row>
    <row r="90" spans="1:4">
      <c r="A90" s="916" t="s">
        <v>1782</v>
      </c>
      <c r="B90" s="916" t="s">
        <v>1782</v>
      </c>
      <c r="C90" s="916" t="s">
        <v>1783</v>
      </c>
      <c r="D90" s="715">
        <v>0.18</v>
      </c>
    </row>
    <row r="91" spans="1:4">
      <c r="A91" s="916" t="s">
        <v>1784</v>
      </c>
      <c r="B91" s="916" t="s">
        <v>1784</v>
      </c>
      <c r="C91" s="916" t="s">
        <v>1785</v>
      </c>
      <c r="D91" s="715">
        <v>0.2</v>
      </c>
    </row>
    <row r="92" spans="1:4">
      <c r="A92" s="916" t="s">
        <v>1786</v>
      </c>
      <c r="B92" s="916" t="s">
        <v>1786</v>
      </c>
      <c r="C92" s="916" t="s">
        <v>1787</v>
      </c>
      <c r="D92" s="715">
        <v>0.23</v>
      </c>
    </row>
    <row r="93" spans="1:4">
      <c r="A93" s="916" t="s">
        <v>1788</v>
      </c>
      <c r="B93" s="916" t="s">
        <v>1788</v>
      </c>
      <c r="C93" s="916" t="s">
        <v>1789</v>
      </c>
      <c r="D93" s="715">
        <v>0.02</v>
      </c>
    </row>
    <row r="94" spans="1:4">
      <c r="A94" s="916" t="s">
        <v>1790</v>
      </c>
      <c r="B94" s="916" t="s">
        <v>1790</v>
      </c>
      <c r="C94" s="916" t="s">
        <v>1791</v>
      </c>
      <c r="D94" s="715">
        <v>0.17</v>
      </c>
    </row>
    <row r="95" spans="1:4">
      <c r="A95" s="916" t="s">
        <v>1792</v>
      </c>
      <c r="B95" s="916" t="s">
        <v>1792</v>
      </c>
      <c r="C95" s="916" t="s">
        <v>1793</v>
      </c>
      <c r="D95" s="715">
        <v>0.18</v>
      </c>
    </row>
    <row r="96" spans="1:4">
      <c r="A96" s="916" t="s">
        <v>1794</v>
      </c>
      <c r="B96" s="916" t="s">
        <v>1794</v>
      </c>
      <c r="C96" s="916" t="s">
        <v>1795</v>
      </c>
      <c r="D96" s="715">
        <v>0.03</v>
      </c>
    </row>
    <row r="97" spans="1:4">
      <c r="A97" s="916" t="s">
        <v>1796</v>
      </c>
      <c r="B97" s="916" t="s">
        <v>1796</v>
      </c>
      <c r="C97" s="916" t="s">
        <v>1797</v>
      </c>
      <c r="D97" s="715">
        <v>0.05</v>
      </c>
    </row>
    <row r="98" spans="1:4">
      <c r="A98" s="916" t="s">
        <v>1798</v>
      </c>
      <c r="B98" s="916" t="s">
        <v>1798</v>
      </c>
      <c r="C98" s="916" t="s">
        <v>1799</v>
      </c>
      <c r="D98" s="715">
        <v>7.0000000000000007E-2</v>
      </c>
    </row>
    <row r="99" spans="1:4">
      <c r="A99" s="916" t="s">
        <v>1800</v>
      </c>
      <c r="B99" s="916" t="s">
        <v>1800</v>
      </c>
      <c r="C99" s="916" t="s">
        <v>1801</v>
      </c>
      <c r="D99" s="715">
        <v>0.08</v>
      </c>
    </row>
    <row r="100" spans="1:4">
      <c r="A100" s="916" t="s">
        <v>1802</v>
      </c>
      <c r="B100" s="916" t="s">
        <v>1802</v>
      </c>
      <c r="C100" s="916" t="s">
        <v>1803</v>
      </c>
      <c r="D100" s="715">
        <v>0.1</v>
      </c>
    </row>
    <row r="101" spans="1:4">
      <c r="A101" s="916" t="s">
        <v>1804</v>
      </c>
      <c r="B101" s="916" t="s">
        <v>1804</v>
      </c>
      <c r="C101" s="916" t="s">
        <v>1805</v>
      </c>
      <c r="D101" s="715">
        <v>0.12</v>
      </c>
    </row>
    <row r="102" spans="1:4">
      <c r="A102" s="916" t="s">
        <v>1806</v>
      </c>
      <c r="B102" s="916" t="s">
        <v>1806</v>
      </c>
      <c r="C102" s="916" t="s">
        <v>1807</v>
      </c>
      <c r="D102" s="715">
        <v>0.13</v>
      </c>
    </row>
    <row r="103" spans="1:4">
      <c r="A103" s="916" t="s">
        <v>1808</v>
      </c>
      <c r="B103" s="916" t="s">
        <v>1808</v>
      </c>
      <c r="C103" s="916" t="s">
        <v>1809</v>
      </c>
      <c r="D103" s="715">
        <v>0.15</v>
      </c>
    </row>
    <row r="104" spans="1:4">
      <c r="A104" s="916" t="s">
        <v>1810</v>
      </c>
      <c r="B104" s="916" t="s">
        <v>1810</v>
      </c>
      <c r="C104" s="916" t="s">
        <v>1811</v>
      </c>
      <c r="D104" s="715">
        <v>660</v>
      </c>
    </row>
    <row r="105" spans="1:4">
      <c r="A105" s="916" t="s">
        <v>1812</v>
      </c>
      <c r="B105" s="916" t="s">
        <v>1812</v>
      </c>
      <c r="C105" s="916" t="s">
        <v>1813</v>
      </c>
      <c r="D105" s="715">
        <v>1325</v>
      </c>
    </row>
    <row r="106" spans="1:4">
      <c r="A106" s="916" t="s">
        <v>1814</v>
      </c>
      <c r="B106" s="916" t="s">
        <v>1814</v>
      </c>
      <c r="C106" s="916" t="s">
        <v>1815</v>
      </c>
      <c r="D106" s="715">
        <v>1915</v>
      </c>
    </row>
    <row r="107" spans="1:4">
      <c r="A107" s="916" t="s">
        <v>1816</v>
      </c>
      <c r="B107" s="916" t="s">
        <v>1816</v>
      </c>
      <c r="C107" s="916" t="s">
        <v>1817</v>
      </c>
      <c r="D107" s="715">
        <v>3654</v>
      </c>
    </row>
    <row r="108" spans="1:4">
      <c r="A108" s="916" t="s">
        <v>1818</v>
      </c>
      <c r="B108" s="916" t="s">
        <v>1818</v>
      </c>
      <c r="C108" s="916" t="s">
        <v>1819</v>
      </c>
      <c r="D108" s="715">
        <v>3473</v>
      </c>
    </row>
    <row r="109" spans="1:4">
      <c r="A109" s="916" t="s">
        <v>1820</v>
      </c>
      <c r="B109" s="916" t="s">
        <v>1820</v>
      </c>
      <c r="C109" s="916" t="s">
        <v>1821</v>
      </c>
      <c r="D109" s="715">
        <v>328</v>
      </c>
    </row>
    <row r="110" spans="1:4">
      <c r="A110" s="916" t="s">
        <v>1822</v>
      </c>
      <c r="B110" s="916" t="s">
        <v>1822</v>
      </c>
      <c r="C110" s="916" t="s">
        <v>1823</v>
      </c>
      <c r="D110" s="715">
        <v>665</v>
      </c>
    </row>
    <row r="111" spans="1:4">
      <c r="A111" s="916" t="s">
        <v>1824</v>
      </c>
      <c r="B111" s="916" t="s">
        <v>1824</v>
      </c>
      <c r="C111" s="916" t="s">
        <v>1825</v>
      </c>
      <c r="D111" s="715">
        <v>930</v>
      </c>
    </row>
    <row r="112" spans="1:4">
      <c r="A112" s="916" t="s">
        <v>1826</v>
      </c>
      <c r="B112" s="916" t="s">
        <v>1826</v>
      </c>
      <c r="C112" s="916" t="s">
        <v>1827</v>
      </c>
      <c r="D112" s="715">
        <v>1257</v>
      </c>
    </row>
    <row r="113" spans="1:4">
      <c r="A113" s="1355" t="s">
        <v>1828</v>
      </c>
      <c r="B113" s="1356"/>
      <c r="C113" s="1356"/>
      <c r="D113" s="1356"/>
    </row>
    <row r="114" spans="1:4">
      <c r="A114" s="916" t="s">
        <v>1829</v>
      </c>
      <c r="B114" s="916" t="s">
        <v>1830</v>
      </c>
      <c r="C114" s="916" t="s">
        <v>103</v>
      </c>
      <c r="D114" s="715">
        <v>129.99</v>
      </c>
    </row>
    <row r="115" spans="1:4">
      <c r="A115" s="916" t="s">
        <v>1831</v>
      </c>
      <c r="B115" s="916" t="s">
        <v>1832</v>
      </c>
      <c r="C115" s="916" t="s">
        <v>213</v>
      </c>
      <c r="D115" s="715">
        <v>399</v>
      </c>
    </row>
    <row r="116" spans="1:4">
      <c r="A116" s="1355" t="s">
        <v>1833</v>
      </c>
      <c r="B116" s="1356"/>
      <c r="C116" s="1356"/>
      <c r="D116" s="1356"/>
    </row>
    <row r="117" spans="1:4">
      <c r="A117" s="916" t="s">
        <v>1834</v>
      </c>
      <c r="B117" s="916" t="s">
        <v>1834</v>
      </c>
      <c r="C117" s="916" t="s">
        <v>1835</v>
      </c>
      <c r="D117" s="715">
        <v>180</v>
      </c>
    </row>
    <row r="118" spans="1:4">
      <c r="A118" s="916" t="s">
        <v>1836</v>
      </c>
      <c r="B118" s="916" t="s">
        <v>1836</v>
      </c>
      <c r="C118" s="916" t="s">
        <v>1837</v>
      </c>
      <c r="D118" s="715">
        <v>1</v>
      </c>
    </row>
    <row r="119" spans="1:4">
      <c r="A119" s="916" t="s">
        <v>1838</v>
      </c>
      <c r="B119" s="916" t="s">
        <v>1838</v>
      </c>
      <c r="C119" s="916" t="s">
        <v>1839</v>
      </c>
      <c r="D119" s="715">
        <v>4000</v>
      </c>
    </row>
    <row r="120" spans="1:4">
      <c r="A120" s="916" t="s">
        <v>1840</v>
      </c>
      <c r="B120" s="916" t="s">
        <v>1840</v>
      </c>
      <c r="C120" s="916" t="s">
        <v>1841</v>
      </c>
      <c r="D120" s="715">
        <v>1600</v>
      </c>
    </row>
    <row r="121" spans="1:4">
      <c r="A121" s="916" t="s">
        <v>1842</v>
      </c>
      <c r="B121" s="916" t="s">
        <v>1842</v>
      </c>
      <c r="C121" s="916" t="s">
        <v>1843</v>
      </c>
      <c r="D121" s="715">
        <v>960</v>
      </c>
    </row>
    <row r="122" spans="1:4">
      <c r="A122" s="916" t="s">
        <v>1844</v>
      </c>
      <c r="B122" s="916" t="s">
        <v>1844</v>
      </c>
      <c r="C122" s="916" t="s">
        <v>1845</v>
      </c>
      <c r="D122" s="715">
        <v>3760</v>
      </c>
    </row>
    <row r="123" spans="1:4">
      <c r="A123" s="916" t="s">
        <v>1846</v>
      </c>
      <c r="B123" s="916" t="s">
        <v>1846</v>
      </c>
      <c r="C123" s="916" t="s">
        <v>1847</v>
      </c>
      <c r="D123" s="715">
        <v>1680</v>
      </c>
    </row>
    <row r="124" spans="1:4">
      <c r="A124" s="916" t="s">
        <v>1848</v>
      </c>
      <c r="B124" s="916" t="s">
        <v>1848</v>
      </c>
      <c r="C124" s="916" t="s">
        <v>1849</v>
      </c>
      <c r="D124" s="715">
        <v>1680</v>
      </c>
    </row>
    <row r="125" spans="1:4">
      <c r="A125" s="916" t="s">
        <v>1850</v>
      </c>
      <c r="B125" s="916" t="s">
        <v>1850</v>
      </c>
      <c r="C125" s="916" t="s">
        <v>1851</v>
      </c>
      <c r="D125" s="715">
        <v>1680</v>
      </c>
    </row>
    <row r="126" spans="1:4">
      <c r="A126" s="916" t="s">
        <v>1852</v>
      </c>
      <c r="B126" s="916" t="s">
        <v>1852</v>
      </c>
      <c r="C126" s="916" t="s">
        <v>1853</v>
      </c>
      <c r="D126" s="715">
        <v>1680</v>
      </c>
    </row>
    <row r="127" spans="1:4">
      <c r="A127" s="916" t="s">
        <v>1854</v>
      </c>
      <c r="B127" s="916" t="s">
        <v>1854</v>
      </c>
      <c r="C127" s="916" t="s">
        <v>1855</v>
      </c>
      <c r="D127" s="715">
        <v>2800</v>
      </c>
    </row>
    <row r="128" spans="1:4">
      <c r="A128" s="916" t="s">
        <v>1856</v>
      </c>
      <c r="B128" s="916" t="s">
        <v>1856</v>
      </c>
      <c r="C128" s="916" t="s">
        <v>1857</v>
      </c>
      <c r="D128" s="715">
        <v>2800</v>
      </c>
    </row>
    <row r="129" spans="1:4">
      <c r="A129" s="916" t="s">
        <v>1858</v>
      </c>
      <c r="B129" s="916" t="s">
        <v>1858</v>
      </c>
      <c r="C129" s="916" t="s">
        <v>1859</v>
      </c>
      <c r="D129" s="715">
        <v>1680</v>
      </c>
    </row>
    <row r="130" spans="1:4">
      <c r="A130" s="916" t="s">
        <v>1860</v>
      </c>
      <c r="B130" s="916" t="s">
        <v>1860</v>
      </c>
      <c r="C130" s="916" t="s">
        <v>1861</v>
      </c>
      <c r="D130" s="715">
        <v>1680</v>
      </c>
    </row>
    <row r="131" spans="1:4">
      <c r="A131" s="916" t="s">
        <v>1862</v>
      </c>
      <c r="B131" s="916" t="s">
        <v>1862</v>
      </c>
      <c r="C131" s="916" t="s">
        <v>1863</v>
      </c>
      <c r="D131" s="715">
        <v>1680</v>
      </c>
    </row>
    <row r="132" spans="1:4">
      <c r="A132" s="916" t="s">
        <v>1864</v>
      </c>
      <c r="B132" s="916" t="s">
        <v>1864</v>
      </c>
      <c r="C132" s="916" t="s">
        <v>1865</v>
      </c>
      <c r="D132" s="715">
        <v>1200</v>
      </c>
    </row>
    <row r="133" spans="1:4">
      <c r="A133" s="916" t="s">
        <v>1866</v>
      </c>
      <c r="B133" s="916" t="s">
        <v>1866</v>
      </c>
      <c r="C133" s="916" t="s">
        <v>1867</v>
      </c>
      <c r="D133" s="715">
        <v>2800</v>
      </c>
    </row>
    <row r="134" spans="1:4">
      <c r="A134" s="916" t="s">
        <v>1868</v>
      </c>
      <c r="B134" s="916" t="s">
        <v>1868</v>
      </c>
      <c r="C134" s="916" t="s">
        <v>1869</v>
      </c>
      <c r="D134" s="715">
        <v>1680</v>
      </c>
    </row>
    <row r="135" spans="1:4">
      <c r="A135" s="916" t="s">
        <v>1870</v>
      </c>
      <c r="B135" s="916" t="s">
        <v>1870</v>
      </c>
      <c r="C135" s="916" t="s">
        <v>1871</v>
      </c>
      <c r="D135" s="715">
        <v>2100</v>
      </c>
    </row>
    <row r="136" spans="1:4">
      <c r="A136" s="916" t="s">
        <v>1872</v>
      </c>
      <c r="B136" s="916" t="s">
        <v>1872</v>
      </c>
      <c r="C136" s="916" t="s">
        <v>1873</v>
      </c>
      <c r="D136" s="715">
        <v>1200</v>
      </c>
    </row>
    <row r="137" spans="1:4">
      <c r="A137" s="916" t="s">
        <v>1874</v>
      </c>
      <c r="B137" s="916" t="s">
        <v>1874</v>
      </c>
      <c r="C137" s="916" t="s">
        <v>1875</v>
      </c>
      <c r="D137" s="715">
        <v>1200</v>
      </c>
    </row>
    <row r="138" spans="1:4">
      <c r="A138" s="916" t="s">
        <v>1876</v>
      </c>
      <c r="B138" s="916" t="s">
        <v>1876</v>
      </c>
      <c r="C138" s="916" t="s">
        <v>1877</v>
      </c>
      <c r="D138" s="715">
        <v>1200</v>
      </c>
    </row>
    <row r="139" spans="1:4">
      <c r="A139" s="916" t="s">
        <v>1878</v>
      </c>
      <c r="B139" s="916" t="s">
        <v>1878</v>
      </c>
      <c r="C139" s="916" t="s">
        <v>1879</v>
      </c>
      <c r="D139" s="715">
        <v>1680</v>
      </c>
    </row>
    <row r="140" spans="1:4">
      <c r="A140" s="916" t="s">
        <v>1880</v>
      </c>
      <c r="B140" s="916" t="s">
        <v>1880</v>
      </c>
      <c r="C140" s="916" t="s">
        <v>1881</v>
      </c>
      <c r="D140" s="715">
        <v>1680</v>
      </c>
    </row>
    <row r="141" spans="1:4">
      <c r="A141" s="916" t="s">
        <v>1882</v>
      </c>
      <c r="B141" s="916" t="s">
        <v>1882</v>
      </c>
      <c r="C141" s="916" t="s">
        <v>1883</v>
      </c>
      <c r="D141" s="715">
        <v>1680</v>
      </c>
    </row>
    <row r="142" spans="1:4">
      <c r="A142" s="916" t="s">
        <v>1884</v>
      </c>
      <c r="B142" s="916" t="s">
        <v>1884</v>
      </c>
      <c r="C142" s="916" t="s">
        <v>1885</v>
      </c>
      <c r="D142" s="715">
        <v>2800</v>
      </c>
    </row>
    <row r="143" spans="1:4">
      <c r="A143" s="916" t="s">
        <v>1886</v>
      </c>
      <c r="B143" s="916" t="s">
        <v>1886</v>
      </c>
      <c r="C143" s="916" t="s">
        <v>1887</v>
      </c>
      <c r="D143" s="715">
        <v>1680</v>
      </c>
    </row>
    <row r="144" spans="1:4">
      <c r="A144" s="916" t="s">
        <v>1888</v>
      </c>
      <c r="B144" s="916" t="s">
        <v>1888</v>
      </c>
      <c r="C144" s="916" t="s">
        <v>1889</v>
      </c>
      <c r="D144" s="715">
        <v>1680</v>
      </c>
    </row>
    <row r="145" spans="1:4">
      <c r="A145" s="916" t="s">
        <v>1890</v>
      </c>
      <c r="B145" s="916" t="s">
        <v>1890</v>
      </c>
      <c r="C145" s="916" t="s">
        <v>1891</v>
      </c>
      <c r="D145" s="715">
        <v>1680</v>
      </c>
    </row>
    <row r="146" spans="1:4">
      <c r="A146" s="916" t="s">
        <v>1892</v>
      </c>
      <c r="B146" s="916" t="s">
        <v>1892</v>
      </c>
      <c r="C146" s="916" t="s">
        <v>1893</v>
      </c>
      <c r="D146" s="715">
        <v>1680</v>
      </c>
    </row>
    <row r="147" spans="1:4">
      <c r="A147" s="916" t="s">
        <v>1894</v>
      </c>
      <c r="B147" s="916" t="s">
        <v>1894</v>
      </c>
      <c r="C147" s="916" t="s">
        <v>1895</v>
      </c>
      <c r="D147" s="715">
        <v>1680</v>
      </c>
    </row>
    <row r="148" spans="1:4">
      <c r="A148" s="916" t="s">
        <v>1896</v>
      </c>
      <c r="B148" s="916" t="s">
        <v>1896</v>
      </c>
      <c r="C148" s="916" t="s">
        <v>1897</v>
      </c>
      <c r="D148" s="715">
        <v>1200</v>
      </c>
    </row>
    <row r="149" spans="1:4">
      <c r="A149" s="916" t="s">
        <v>1898</v>
      </c>
      <c r="B149" s="916" t="s">
        <v>1898</v>
      </c>
      <c r="C149" s="916" t="s">
        <v>1899</v>
      </c>
      <c r="D149" s="715">
        <v>2800</v>
      </c>
    </row>
    <row r="150" spans="1:4">
      <c r="A150" s="916" t="s">
        <v>1900</v>
      </c>
      <c r="B150" s="916" t="s">
        <v>1900</v>
      </c>
      <c r="C150" s="916" t="s">
        <v>1901</v>
      </c>
      <c r="D150" s="715">
        <v>140</v>
      </c>
    </row>
    <row r="151" spans="1:4">
      <c r="A151" s="916" t="s">
        <v>1902</v>
      </c>
      <c r="B151" s="916" t="s">
        <v>1902</v>
      </c>
      <c r="C151" s="916" t="s">
        <v>1903</v>
      </c>
      <c r="D151" s="715">
        <v>396</v>
      </c>
    </row>
    <row r="152" spans="1:4">
      <c r="A152" s="916" t="s">
        <v>1904</v>
      </c>
      <c r="B152" s="916" t="s">
        <v>1904</v>
      </c>
      <c r="C152" s="916" t="s">
        <v>1905</v>
      </c>
      <c r="D152" s="715">
        <v>528</v>
      </c>
    </row>
    <row r="153" spans="1:4">
      <c r="A153" s="916" t="s">
        <v>1906</v>
      </c>
      <c r="B153" s="916" t="s">
        <v>1906</v>
      </c>
      <c r="C153" s="916" t="s">
        <v>1907</v>
      </c>
      <c r="D153" s="715">
        <v>880</v>
      </c>
    </row>
    <row r="154" spans="1:4">
      <c r="A154" s="916" t="s">
        <v>1908</v>
      </c>
      <c r="B154" s="916" t="s">
        <v>1908</v>
      </c>
      <c r="C154" s="916" t="s">
        <v>1909</v>
      </c>
      <c r="D154" s="715">
        <v>300</v>
      </c>
    </row>
    <row r="155" spans="1:4">
      <c r="A155" s="916" t="s">
        <v>1910</v>
      </c>
      <c r="B155" s="916" t="s">
        <v>1910</v>
      </c>
      <c r="C155" s="916" t="s">
        <v>1911</v>
      </c>
      <c r="D155" s="715">
        <v>1200</v>
      </c>
    </row>
    <row r="156" spans="1:4">
      <c r="A156" s="916" t="s">
        <v>1912</v>
      </c>
      <c r="B156" s="916" t="s">
        <v>1912</v>
      </c>
      <c r="C156" s="916" t="s">
        <v>1913</v>
      </c>
      <c r="D156" s="715">
        <v>600</v>
      </c>
    </row>
    <row r="157" spans="1:4">
      <c r="A157" s="916" t="s">
        <v>1914</v>
      </c>
      <c r="B157" s="916" t="s">
        <v>1914</v>
      </c>
      <c r="C157" s="916" t="s">
        <v>1915</v>
      </c>
      <c r="D157" s="715">
        <v>730</v>
      </c>
    </row>
    <row r="158" spans="1:4">
      <c r="A158" s="916" t="s">
        <v>1916</v>
      </c>
      <c r="B158" s="916" t="s">
        <v>1916</v>
      </c>
      <c r="C158" s="916" t="s">
        <v>1917</v>
      </c>
      <c r="D158" s="715">
        <v>2800</v>
      </c>
    </row>
    <row r="159" spans="1:4">
      <c r="A159" s="916" t="s">
        <v>1918</v>
      </c>
      <c r="B159" s="916" t="s">
        <v>1918</v>
      </c>
      <c r="C159" s="916" t="s">
        <v>1919</v>
      </c>
      <c r="D159" s="715">
        <v>1200</v>
      </c>
    </row>
    <row r="160" spans="1:4">
      <c r="A160" s="916" t="s">
        <v>1920</v>
      </c>
      <c r="B160" s="916" t="s">
        <v>1920</v>
      </c>
      <c r="C160" s="916" t="s">
        <v>1921</v>
      </c>
      <c r="D160" s="715">
        <v>1200</v>
      </c>
    </row>
    <row r="161" spans="1:4">
      <c r="A161" s="916" t="s">
        <v>1922</v>
      </c>
      <c r="B161" s="916" t="s">
        <v>1922</v>
      </c>
      <c r="C161" s="916" t="s">
        <v>1923</v>
      </c>
      <c r="D161" s="715">
        <v>1680</v>
      </c>
    </row>
    <row r="162" spans="1:4">
      <c r="A162" s="916" t="s">
        <v>1924</v>
      </c>
      <c r="B162" s="916" t="s">
        <v>1924</v>
      </c>
      <c r="C162" s="916" t="s">
        <v>1925</v>
      </c>
      <c r="D162" s="715">
        <v>2800</v>
      </c>
    </row>
    <row r="163" spans="1:4">
      <c r="A163" s="916" t="s">
        <v>1926</v>
      </c>
      <c r="B163" s="916" t="s">
        <v>1926</v>
      </c>
      <c r="C163" s="916" t="s">
        <v>1927</v>
      </c>
      <c r="D163" s="715">
        <v>1680</v>
      </c>
    </row>
    <row r="164" spans="1:4">
      <c r="A164" s="916" t="s">
        <v>1928</v>
      </c>
      <c r="B164" s="916" t="s">
        <v>1928</v>
      </c>
      <c r="C164" s="916" t="s">
        <v>1929</v>
      </c>
      <c r="D164" s="715">
        <v>1200</v>
      </c>
    </row>
    <row r="165" spans="1:4">
      <c r="A165" s="916" t="s">
        <v>1930</v>
      </c>
      <c r="B165" s="916" t="s">
        <v>1930</v>
      </c>
      <c r="C165" s="916" t="s">
        <v>1931</v>
      </c>
      <c r="D165" s="715">
        <v>1200</v>
      </c>
    </row>
    <row r="166" spans="1:4">
      <c r="A166" s="916" t="s">
        <v>1932</v>
      </c>
      <c r="B166" s="916" t="s">
        <v>1932</v>
      </c>
      <c r="C166" s="916" t="s">
        <v>1933</v>
      </c>
      <c r="D166" s="715">
        <v>1680</v>
      </c>
    </row>
    <row r="167" spans="1:4">
      <c r="A167" s="916" t="s">
        <v>1934</v>
      </c>
      <c r="B167" s="916" t="s">
        <v>1934</v>
      </c>
      <c r="C167" s="916" t="s">
        <v>1935</v>
      </c>
      <c r="D167" s="715">
        <v>140</v>
      </c>
    </row>
    <row r="168" spans="1:4">
      <c r="A168" s="916" t="s">
        <v>1936</v>
      </c>
      <c r="B168" s="916" t="s">
        <v>1936</v>
      </c>
      <c r="C168" s="916" t="s">
        <v>1937</v>
      </c>
      <c r="D168" s="715">
        <v>300</v>
      </c>
    </row>
    <row r="169" spans="1:4">
      <c r="A169" s="916" t="s">
        <v>1938</v>
      </c>
      <c r="B169" s="916" t="s">
        <v>1938</v>
      </c>
      <c r="C169" s="916" t="s">
        <v>1939</v>
      </c>
      <c r="D169" s="715">
        <v>40</v>
      </c>
    </row>
    <row r="170" spans="1:4">
      <c r="A170" s="916" t="s">
        <v>1940</v>
      </c>
      <c r="B170" s="916" t="s">
        <v>1940</v>
      </c>
      <c r="C170" s="916" t="s">
        <v>1941</v>
      </c>
      <c r="D170" s="715">
        <v>528</v>
      </c>
    </row>
    <row r="171" spans="1:4">
      <c r="A171" s="916" t="s">
        <v>1942</v>
      </c>
      <c r="B171" s="916" t="s">
        <v>1942</v>
      </c>
      <c r="C171" s="916" t="s">
        <v>1943</v>
      </c>
      <c r="D171" s="715">
        <v>660</v>
      </c>
    </row>
    <row r="172" spans="1:4">
      <c r="A172" s="916" t="s">
        <v>1944</v>
      </c>
      <c r="B172" s="916" t="s">
        <v>1944</v>
      </c>
      <c r="C172" s="916" t="s">
        <v>1945</v>
      </c>
      <c r="D172" s="715">
        <v>180</v>
      </c>
    </row>
    <row r="173" spans="1:4">
      <c r="A173" s="916" t="s">
        <v>1946</v>
      </c>
      <c r="B173" s="916" t="s">
        <v>1946</v>
      </c>
      <c r="C173" s="916" t="s">
        <v>1947</v>
      </c>
      <c r="D173" s="715">
        <v>700</v>
      </c>
    </row>
    <row r="174" spans="1:4">
      <c r="A174" s="1355" t="s">
        <v>1948</v>
      </c>
      <c r="B174" s="1356"/>
      <c r="C174" s="1356"/>
      <c r="D174" s="1356"/>
    </row>
    <row r="175" spans="1:4">
      <c r="A175" s="916" t="s">
        <v>1949</v>
      </c>
      <c r="B175" s="916" t="s">
        <v>1949</v>
      </c>
      <c r="C175" s="916" t="s">
        <v>1950</v>
      </c>
      <c r="D175" s="715">
        <v>150</v>
      </c>
    </row>
    <row r="176" spans="1:4">
      <c r="A176" s="916" t="s">
        <v>1951</v>
      </c>
      <c r="B176" s="916" t="s">
        <v>1951</v>
      </c>
      <c r="C176" s="916" t="s">
        <v>1952</v>
      </c>
      <c r="D176" s="715">
        <v>110</v>
      </c>
    </row>
    <row r="177" spans="1:4">
      <c r="A177" s="916" t="s">
        <v>1953</v>
      </c>
      <c r="B177" s="916" t="s">
        <v>1953</v>
      </c>
      <c r="C177" s="916" t="s">
        <v>1954</v>
      </c>
      <c r="D177" s="715">
        <v>140</v>
      </c>
    </row>
    <row r="178" spans="1:4">
      <c r="A178" s="916" t="s">
        <v>1955</v>
      </c>
      <c r="B178" s="916" t="s">
        <v>1955</v>
      </c>
      <c r="C178" s="916" t="s">
        <v>1956</v>
      </c>
      <c r="D178" s="715">
        <v>120</v>
      </c>
    </row>
    <row r="179" spans="1:4">
      <c r="A179" s="916" t="s">
        <v>1957</v>
      </c>
      <c r="B179" s="916" t="s">
        <v>1957</v>
      </c>
      <c r="C179" s="916" t="s">
        <v>1958</v>
      </c>
      <c r="D179" s="715">
        <v>300</v>
      </c>
    </row>
    <row r="180" spans="1:4">
      <c r="A180" s="916" t="s">
        <v>1959</v>
      </c>
      <c r="B180" s="916" t="s">
        <v>1959</v>
      </c>
      <c r="C180" s="916" t="s">
        <v>1960</v>
      </c>
      <c r="D180" s="715">
        <v>95</v>
      </c>
    </row>
    <row r="181" spans="1:4">
      <c r="A181" s="916" t="s">
        <v>1961</v>
      </c>
      <c r="B181" s="916" t="s">
        <v>1961</v>
      </c>
      <c r="C181" s="916" t="s">
        <v>1962</v>
      </c>
      <c r="D181" s="715">
        <v>495</v>
      </c>
    </row>
    <row r="182" spans="1:4">
      <c r="A182" s="916" t="s">
        <v>1963</v>
      </c>
      <c r="B182" s="916" t="s">
        <v>1963</v>
      </c>
      <c r="C182" s="916" t="s">
        <v>1964</v>
      </c>
      <c r="D182" s="715">
        <v>3000</v>
      </c>
    </row>
    <row r="183" spans="1:4">
      <c r="A183" s="916" t="s">
        <v>1965</v>
      </c>
      <c r="B183" s="916" t="s">
        <v>1965</v>
      </c>
      <c r="C183" s="916" t="s">
        <v>1966</v>
      </c>
      <c r="D183" s="715">
        <v>3000</v>
      </c>
    </row>
    <row r="184" spans="1:4">
      <c r="A184" s="916" t="s">
        <v>1967</v>
      </c>
      <c r="B184" s="916" t="s">
        <v>1967</v>
      </c>
      <c r="C184" s="916" t="s">
        <v>1968</v>
      </c>
      <c r="D184" s="715">
        <v>750</v>
      </c>
    </row>
    <row r="185" spans="1:4">
      <c r="A185" s="916" t="s">
        <v>1969</v>
      </c>
      <c r="B185" s="916" t="s">
        <v>1969</v>
      </c>
      <c r="C185" s="916" t="s">
        <v>1970</v>
      </c>
      <c r="D185" s="715">
        <v>3000</v>
      </c>
    </row>
    <row r="186" spans="1:4">
      <c r="A186" s="916" t="s">
        <v>1971</v>
      </c>
      <c r="B186" s="916" t="s">
        <v>1971</v>
      </c>
      <c r="C186" s="916" t="s">
        <v>1972</v>
      </c>
      <c r="D186" s="715">
        <v>3000</v>
      </c>
    </row>
    <row r="187" spans="1:4">
      <c r="A187" s="916" t="s">
        <v>1973</v>
      </c>
      <c r="B187" s="916" t="s">
        <v>1973</v>
      </c>
      <c r="C187" s="916" t="s">
        <v>1974</v>
      </c>
      <c r="D187" s="715">
        <v>750</v>
      </c>
    </row>
    <row r="188" spans="1:4">
      <c r="A188" s="916" t="s">
        <v>1975</v>
      </c>
      <c r="B188" s="916" t="s">
        <v>1975</v>
      </c>
      <c r="C188" s="916" t="s">
        <v>1976</v>
      </c>
      <c r="D188" s="715">
        <v>3000</v>
      </c>
    </row>
    <row r="189" spans="1:4">
      <c r="A189" s="916" t="s">
        <v>1977</v>
      </c>
      <c r="B189" s="916" t="s">
        <v>1977</v>
      </c>
      <c r="C189" s="916" t="s">
        <v>1978</v>
      </c>
      <c r="D189" s="715">
        <v>750</v>
      </c>
    </row>
    <row r="190" spans="1:4">
      <c r="A190" s="916" t="s">
        <v>1979</v>
      </c>
      <c r="B190" s="916" t="s">
        <v>1979</v>
      </c>
      <c r="C190" s="916" t="s">
        <v>1980</v>
      </c>
      <c r="D190" s="715">
        <v>495</v>
      </c>
    </row>
    <row r="191" spans="1:4">
      <c r="A191" s="916" t="s">
        <v>1981</v>
      </c>
      <c r="B191" s="916" t="s">
        <v>1981</v>
      </c>
      <c r="C191" s="916" t="s">
        <v>1982</v>
      </c>
      <c r="D191" s="715">
        <v>750</v>
      </c>
    </row>
    <row r="192" spans="1:4">
      <c r="A192" s="916" t="s">
        <v>1983</v>
      </c>
      <c r="B192" s="916" t="s">
        <v>1983</v>
      </c>
      <c r="C192" s="916" t="s">
        <v>1984</v>
      </c>
      <c r="D192" s="715">
        <v>750</v>
      </c>
    </row>
    <row r="193" spans="1:4">
      <c r="A193" s="916" t="s">
        <v>1985</v>
      </c>
      <c r="B193" s="916" t="s">
        <v>1985</v>
      </c>
      <c r="C193" s="916" t="s">
        <v>1986</v>
      </c>
      <c r="D193" s="715">
        <v>495</v>
      </c>
    </row>
    <row r="194" spans="1:4">
      <c r="A194" s="916" t="s">
        <v>1987</v>
      </c>
      <c r="B194" s="916" t="s">
        <v>1987</v>
      </c>
      <c r="C194" s="916" t="s">
        <v>1988</v>
      </c>
      <c r="D194" s="715">
        <v>495</v>
      </c>
    </row>
    <row r="195" spans="1:4">
      <c r="A195" s="916" t="s">
        <v>1989</v>
      </c>
      <c r="B195" s="916" t="s">
        <v>1989</v>
      </c>
      <c r="C195" s="916" t="s">
        <v>1990</v>
      </c>
      <c r="D195" s="715">
        <v>495</v>
      </c>
    </row>
    <row r="196" spans="1:4">
      <c r="A196" s="916" t="s">
        <v>1991</v>
      </c>
      <c r="B196" s="916" t="s">
        <v>1991</v>
      </c>
      <c r="C196" s="916" t="s">
        <v>1992</v>
      </c>
      <c r="D196" s="715">
        <v>750</v>
      </c>
    </row>
    <row r="197" spans="1:4">
      <c r="A197" s="916" t="s">
        <v>1993</v>
      </c>
      <c r="B197" s="916" t="s">
        <v>1993</v>
      </c>
      <c r="C197" s="916" t="s">
        <v>1994</v>
      </c>
      <c r="D197" s="715">
        <v>825</v>
      </c>
    </row>
    <row r="198" spans="1:4">
      <c r="A198" s="916" t="s">
        <v>1995</v>
      </c>
      <c r="B198" s="916" t="s">
        <v>1995</v>
      </c>
      <c r="C198" s="916" t="s">
        <v>1996</v>
      </c>
      <c r="D198" s="715">
        <v>3000</v>
      </c>
    </row>
    <row r="199" spans="1:4">
      <c r="A199" s="916" t="s">
        <v>1997</v>
      </c>
      <c r="B199" s="916" t="s">
        <v>1997</v>
      </c>
      <c r="C199" s="916" t="s">
        <v>1998</v>
      </c>
      <c r="D199" s="715">
        <v>17325</v>
      </c>
    </row>
    <row r="200" spans="1:4">
      <c r="A200" s="916" t="s">
        <v>1999</v>
      </c>
      <c r="B200" s="916" t="s">
        <v>1999</v>
      </c>
      <c r="C200" s="916" t="s">
        <v>2000</v>
      </c>
      <c r="D200" s="715">
        <v>1403</v>
      </c>
    </row>
    <row r="201" spans="1:4">
      <c r="A201" s="916" t="s">
        <v>2001</v>
      </c>
      <c r="B201" s="916" t="s">
        <v>2001</v>
      </c>
      <c r="C201" s="916" t="s">
        <v>2002</v>
      </c>
      <c r="D201" s="715">
        <v>495</v>
      </c>
    </row>
    <row r="202" spans="1:4">
      <c r="A202" s="916" t="s">
        <v>2003</v>
      </c>
      <c r="B202" s="916" t="s">
        <v>2003</v>
      </c>
      <c r="C202" s="916" t="s">
        <v>2004</v>
      </c>
      <c r="D202" s="715">
        <v>2063</v>
      </c>
    </row>
    <row r="203" spans="1:4">
      <c r="A203" s="916" t="s">
        <v>2005</v>
      </c>
      <c r="B203" s="916" t="s">
        <v>2005</v>
      </c>
      <c r="C203" s="916" t="s">
        <v>2006</v>
      </c>
      <c r="D203" s="715">
        <v>10000</v>
      </c>
    </row>
    <row r="204" spans="1:4">
      <c r="A204" s="916" t="s">
        <v>2007</v>
      </c>
      <c r="B204" s="916" t="s">
        <v>2007</v>
      </c>
      <c r="C204" s="916" t="s">
        <v>2008</v>
      </c>
      <c r="D204" s="715">
        <v>1995</v>
      </c>
    </row>
    <row r="205" spans="1:4">
      <c r="A205" s="916" t="s">
        <v>2009</v>
      </c>
      <c r="B205" s="916" t="s">
        <v>2009</v>
      </c>
      <c r="C205" s="916" t="s">
        <v>2010</v>
      </c>
      <c r="D205" s="715">
        <v>1750</v>
      </c>
    </row>
    <row r="206" spans="1:4">
      <c r="A206" s="916" t="s">
        <v>2011</v>
      </c>
      <c r="B206" s="916" t="s">
        <v>2011</v>
      </c>
      <c r="C206" s="916" t="s">
        <v>2012</v>
      </c>
      <c r="D206" s="715">
        <v>820</v>
      </c>
    </row>
    <row r="207" spans="1:4">
      <c r="A207" s="916" t="s">
        <v>2013</v>
      </c>
      <c r="B207" s="916" t="s">
        <v>2013</v>
      </c>
      <c r="C207" s="916" t="s">
        <v>2014</v>
      </c>
      <c r="D207" s="715">
        <v>1750</v>
      </c>
    </row>
    <row r="208" spans="1:4">
      <c r="A208" s="916" t="s">
        <v>2015</v>
      </c>
      <c r="B208" s="916" t="s">
        <v>2015</v>
      </c>
      <c r="C208" s="916" t="s">
        <v>2016</v>
      </c>
      <c r="D208" s="715">
        <v>1750</v>
      </c>
    </row>
    <row r="209" spans="1:4">
      <c r="A209" s="916" t="s">
        <v>2017</v>
      </c>
      <c r="B209" s="916" t="s">
        <v>2017</v>
      </c>
      <c r="C209" s="916" t="s">
        <v>2018</v>
      </c>
      <c r="D209" s="715">
        <v>130</v>
      </c>
    </row>
    <row r="210" spans="1:4">
      <c r="A210" s="916" t="s">
        <v>2019</v>
      </c>
      <c r="B210" s="916" t="s">
        <v>2019</v>
      </c>
      <c r="C210" s="916" t="s">
        <v>2020</v>
      </c>
      <c r="D210" s="715">
        <v>280</v>
      </c>
    </row>
    <row r="211" spans="1:4">
      <c r="A211" s="916" t="s">
        <v>2021</v>
      </c>
      <c r="B211" s="916" t="s">
        <v>2021</v>
      </c>
      <c r="C211" s="916" t="s">
        <v>2022</v>
      </c>
      <c r="D211" s="715">
        <v>75</v>
      </c>
    </row>
    <row r="212" spans="1:4">
      <c r="A212" s="916" t="s">
        <v>2023</v>
      </c>
      <c r="B212" s="916" t="s">
        <v>2023</v>
      </c>
      <c r="C212" s="916" t="s">
        <v>2024</v>
      </c>
      <c r="D212" s="715">
        <v>75</v>
      </c>
    </row>
    <row r="213" spans="1:4">
      <c r="A213" s="916" t="s">
        <v>2025</v>
      </c>
      <c r="B213" s="916" t="s">
        <v>2025</v>
      </c>
      <c r="C213" s="916" t="s">
        <v>2026</v>
      </c>
      <c r="D213" s="715">
        <v>37</v>
      </c>
    </row>
    <row r="214" spans="1:4">
      <c r="A214" s="916" t="s">
        <v>2027</v>
      </c>
      <c r="B214" s="916" t="s">
        <v>2027</v>
      </c>
      <c r="C214" s="916" t="s">
        <v>2028</v>
      </c>
      <c r="D214" s="715">
        <v>37</v>
      </c>
    </row>
    <row r="215" spans="1:4">
      <c r="A215" s="916" t="s">
        <v>2029</v>
      </c>
      <c r="B215" s="916" t="s">
        <v>2029</v>
      </c>
      <c r="C215" s="916" t="s">
        <v>2030</v>
      </c>
      <c r="D215" s="715">
        <v>280</v>
      </c>
    </row>
    <row r="216" spans="1:4">
      <c r="A216" s="916" t="s">
        <v>2031</v>
      </c>
      <c r="B216" s="916" t="s">
        <v>2031</v>
      </c>
      <c r="C216" s="916" t="s">
        <v>2032</v>
      </c>
      <c r="D216" s="715">
        <v>4500</v>
      </c>
    </row>
    <row r="217" spans="1:4">
      <c r="A217" s="916" t="s">
        <v>2033</v>
      </c>
      <c r="B217" s="916" t="s">
        <v>2033</v>
      </c>
      <c r="C217" s="916" t="s">
        <v>2034</v>
      </c>
      <c r="D217" s="715">
        <v>2250</v>
      </c>
    </row>
    <row r="218" spans="1:4">
      <c r="A218" s="916" t="s">
        <v>2035</v>
      </c>
      <c r="B218" s="916" t="s">
        <v>2035</v>
      </c>
      <c r="C218" s="916" t="s">
        <v>2036</v>
      </c>
      <c r="D218" s="715">
        <v>4500</v>
      </c>
    </row>
    <row r="219" spans="1:4">
      <c r="A219" s="916" t="s">
        <v>2037</v>
      </c>
      <c r="B219" s="916" t="s">
        <v>2037</v>
      </c>
      <c r="C219" s="916" t="s">
        <v>2038</v>
      </c>
      <c r="D219" s="715">
        <v>500</v>
      </c>
    </row>
    <row r="220" spans="1:4">
      <c r="A220" s="916" t="s">
        <v>2039</v>
      </c>
      <c r="B220" s="916" t="s">
        <v>2039</v>
      </c>
      <c r="C220" s="916" t="s">
        <v>2040</v>
      </c>
      <c r="D220" s="715">
        <v>75</v>
      </c>
    </row>
    <row r="221" spans="1:4">
      <c r="A221" s="916" t="s">
        <v>2041</v>
      </c>
      <c r="B221" s="916" t="s">
        <v>2041</v>
      </c>
      <c r="C221" s="916" t="s">
        <v>2042</v>
      </c>
      <c r="D221" s="715">
        <v>280</v>
      </c>
    </row>
    <row r="222" spans="1:4">
      <c r="A222" s="916" t="s">
        <v>2043</v>
      </c>
      <c r="B222" s="916" t="s">
        <v>2043</v>
      </c>
      <c r="C222" s="916" t="s">
        <v>2044</v>
      </c>
      <c r="D222" s="715">
        <v>75</v>
      </c>
    </row>
    <row r="223" spans="1:4">
      <c r="A223" s="916" t="s">
        <v>2045</v>
      </c>
      <c r="B223" s="916" t="s">
        <v>2045</v>
      </c>
      <c r="C223" s="916" t="s">
        <v>2046</v>
      </c>
      <c r="D223" s="715">
        <v>200</v>
      </c>
    </row>
    <row r="224" spans="1:4">
      <c r="A224" s="916" t="s">
        <v>2047</v>
      </c>
      <c r="B224" s="916" t="s">
        <v>2047</v>
      </c>
      <c r="C224" s="916" t="s">
        <v>2048</v>
      </c>
      <c r="D224" s="715">
        <v>280</v>
      </c>
    </row>
    <row r="225" spans="1:4">
      <c r="A225" s="916" t="s">
        <v>2049</v>
      </c>
      <c r="B225" s="916" t="s">
        <v>2049</v>
      </c>
      <c r="C225" s="916" t="s">
        <v>2050</v>
      </c>
      <c r="D225" s="715">
        <v>5000</v>
      </c>
    </row>
    <row r="226" spans="1:4">
      <c r="A226" s="916" t="s">
        <v>2051</v>
      </c>
      <c r="B226" s="916" t="s">
        <v>2051</v>
      </c>
      <c r="C226" s="916" t="s">
        <v>2052</v>
      </c>
      <c r="D226" s="715">
        <v>10940</v>
      </c>
    </row>
    <row r="227" spans="1:4">
      <c r="A227" s="916" t="s">
        <v>2053</v>
      </c>
      <c r="B227" s="916" t="s">
        <v>2053</v>
      </c>
      <c r="C227" s="916" t="s">
        <v>2054</v>
      </c>
      <c r="D227" s="715">
        <v>4000</v>
      </c>
    </row>
    <row r="228" spans="1:4">
      <c r="A228" s="916" t="s">
        <v>2055</v>
      </c>
      <c r="B228" s="916" t="s">
        <v>2055</v>
      </c>
      <c r="C228" s="916" t="s">
        <v>2056</v>
      </c>
      <c r="D228" s="715">
        <v>20000</v>
      </c>
    </row>
    <row r="229" spans="1:4">
      <c r="A229" s="916" t="s">
        <v>2057</v>
      </c>
      <c r="B229" s="916" t="s">
        <v>2057</v>
      </c>
      <c r="C229" s="916" t="s">
        <v>2058</v>
      </c>
      <c r="D229" s="715">
        <v>7500</v>
      </c>
    </row>
    <row r="230" spans="1:4">
      <c r="A230" s="916" t="s">
        <v>2059</v>
      </c>
      <c r="B230" s="916" t="s">
        <v>2059</v>
      </c>
      <c r="C230" s="916" t="s">
        <v>2060</v>
      </c>
      <c r="D230" s="715">
        <v>43750</v>
      </c>
    </row>
    <row r="231" spans="1:4">
      <c r="A231" s="916" t="s">
        <v>2061</v>
      </c>
      <c r="B231" s="916" t="s">
        <v>2061</v>
      </c>
      <c r="C231" s="916" t="s">
        <v>2062</v>
      </c>
      <c r="D231" s="715">
        <v>2500</v>
      </c>
    </row>
    <row r="232" spans="1:4">
      <c r="A232" s="916" t="s">
        <v>2063</v>
      </c>
      <c r="B232" s="916" t="s">
        <v>2063</v>
      </c>
      <c r="C232" s="916" t="s">
        <v>2064</v>
      </c>
      <c r="D232" s="715">
        <v>12750</v>
      </c>
    </row>
    <row r="233" spans="1:4">
      <c r="A233" s="916" t="s">
        <v>2065</v>
      </c>
      <c r="B233" s="916" t="s">
        <v>2065</v>
      </c>
      <c r="C233" s="916" t="s">
        <v>2066</v>
      </c>
      <c r="D233" s="715">
        <v>75000</v>
      </c>
    </row>
    <row r="234" spans="1:4">
      <c r="A234" s="916" t="s">
        <v>2067</v>
      </c>
      <c r="B234" s="916" t="s">
        <v>2067</v>
      </c>
      <c r="C234" s="916" t="s">
        <v>2068</v>
      </c>
      <c r="D234" s="715">
        <v>17500</v>
      </c>
    </row>
    <row r="235" spans="1:4">
      <c r="A235" s="1355" t="s">
        <v>2069</v>
      </c>
      <c r="B235" s="1356"/>
      <c r="C235" s="1356"/>
      <c r="D235" s="1356"/>
    </row>
    <row r="236" spans="1:4">
      <c r="A236" s="916" t="s">
        <v>2070</v>
      </c>
      <c r="B236" s="916" t="s">
        <v>2070</v>
      </c>
      <c r="C236" s="916" t="s">
        <v>2071</v>
      </c>
      <c r="D236" s="715">
        <v>0.12</v>
      </c>
    </row>
    <row r="237" spans="1:4">
      <c r="A237" s="630" t="s">
        <v>2072</v>
      </c>
      <c r="B237" s="630"/>
      <c r="C237" s="630"/>
      <c r="D237" s="630"/>
    </row>
  </sheetData>
  <mergeCells count="9">
    <mergeCell ref="A116:D116"/>
    <mergeCell ref="A174:D174"/>
    <mergeCell ref="A235:D235"/>
    <mergeCell ref="A1:D1"/>
    <mergeCell ref="A2:D2"/>
    <mergeCell ref="A4:D4"/>
    <mergeCell ref="A28:D28"/>
    <mergeCell ref="A52:D52"/>
    <mergeCell ref="A113:D113"/>
  </mergeCells>
  <hyperlinks>
    <hyperlink ref="A3" r:id="rId1" xr:uid="{5F5FEBCF-3594-41C9-8C36-22F4A99051D8}"/>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3CEC9-2BB7-4FEB-94B7-90022FA016D5}">
  <sheetPr>
    <tabColor indexed="62"/>
  </sheetPr>
  <dimension ref="A1:P103"/>
  <sheetViews>
    <sheetView topLeftCell="A24" zoomScaleNormal="100" workbookViewId="0">
      <selection activeCell="F38" sqref="F38"/>
    </sheetView>
  </sheetViews>
  <sheetFormatPr defaultColWidth="8.85546875" defaultRowHeight="12.75"/>
  <cols>
    <col min="1" max="1" width="14.42578125" style="256" customWidth="1"/>
    <col min="2" max="2" width="8.7109375" style="256" customWidth="1"/>
    <col min="3" max="3" width="21.42578125" style="549" customWidth="1"/>
    <col min="4" max="4" width="49.28515625" style="256" customWidth="1"/>
    <col min="5" max="5" width="16.140625" style="256" customWidth="1"/>
    <col min="6" max="6" width="15.42578125" style="333" customWidth="1"/>
    <col min="7" max="7" width="20.5703125" style="333" customWidth="1"/>
    <col min="8" max="8" width="23.42578125" style="256" customWidth="1"/>
    <col min="9" max="9" width="20.5703125" style="256" customWidth="1"/>
    <col min="10" max="10" width="24.28515625" style="256" customWidth="1"/>
    <col min="11" max="11" width="21.140625" style="256" customWidth="1"/>
    <col min="12" max="12" width="23.85546875" style="256" customWidth="1"/>
    <col min="13" max="13" width="21.85546875" style="256" customWidth="1"/>
    <col min="14" max="14" width="23.42578125" style="256" customWidth="1"/>
    <col min="15" max="15" width="21.85546875" style="256" customWidth="1"/>
    <col min="16" max="16" width="10.140625" style="256" customWidth="1"/>
    <col min="17" max="16384" width="8.85546875" style="256"/>
  </cols>
  <sheetData>
    <row r="1" spans="1:15" s="315" customFormat="1" ht="13.5" thickBot="1">
      <c r="B1" s="632"/>
      <c r="C1" s="632"/>
      <c r="D1" s="258"/>
      <c r="E1" s="258"/>
      <c r="F1" s="259"/>
      <c r="G1" s="259"/>
      <c r="H1" s="259"/>
      <c r="I1" s="259"/>
      <c r="J1" s="259"/>
      <c r="K1" s="258"/>
      <c r="L1" s="259"/>
    </row>
    <row r="2" spans="1:15" s="315" customFormat="1">
      <c r="A2" s="633"/>
      <c r="B2" s="634"/>
      <c r="C2" s="634"/>
      <c r="D2" s="262"/>
      <c r="E2" s="262"/>
      <c r="F2" s="263"/>
      <c r="G2" s="263"/>
      <c r="H2" s="263"/>
      <c r="I2" s="264"/>
      <c r="J2" s="264"/>
      <c r="K2" s="264"/>
      <c r="L2" s="264"/>
      <c r="M2" s="633"/>
      <c r="N2" s="633"/>
      <c r="O2" s="633"/>
    </row>
    <row r="3" spans="1:15" s="315" customFormat="1">
      <c r="B3" s="632"/>
      <c r="C3" s="632"/>
      <c r="D3" s="258"/>
      <c r="E3" s="258"/>
      <c r="F3" s="259"/>
      <c r="G3" s="259"/>
      <c r="H3" s="259"/>
      <c r="I3" s="265"/>
      <c r="J3" s="265"/>
      <c r="K3" s="265"/>
      <c r="L3" s="265"/>
    </row>
    <row r="4" spans="1:15" s="315" customFormat="1" ht="27">
      <c r="A4" s="1112" t="s">
        <v>260</v>
      </c>
      <c r="B4" s="1020"/>
      <c r="C4" s="1020"/>
      <c r="D4" s="1020"/>
      <c r="E4" s="1020"/>
      <c r="F4" s="1020"/>
      <c r="G4" s="1020"/>
      <c r="H4" s="1020"/>
      <c r="I4" s="1020"/>
      <c r="J4" s="1020"/>
      <c r="K4" s="1020"/>
      <c r="L4" s="1020"/>
      <c r="M4" s="1020"/>
      <c r="N4" s="1020"/>
      <c r="O4" s="1020"/>
    </row>
    <row r="5" spans="1:15" ht="56.25" customHeight="1">
      <c r="A5" s="1113" t="s">
        <v>227</v>
      </c>
      <c r="B5" s="1114"/>
      <c r="C5" s="1114"/>
      <c r="D5" s="1114"/>
      <c r="E5" s="1114"/>
      <c r="F5" s="1114"/>
      <c r="G5" s="1114"/>
      <c r="H5" s="1114"/>
      <c r="I5" s="1114"/>
      <c r="J5" s="1114"/>
      <c r="K5" s="1114"/>
      <c r="L5" s="1114"/>
      <c r="M5" s="1114"/>
      <c r="N5" s="1114"/>
      <c r="O5" s="1114"/>
    </row>
    <row r="6" spans="1:15" ht="13.5" thickBot="1">
      <c r="A6" s="267"/>
      <c r="B6" s="267"/>
      <c r="C6" s="267"/>
      <c r="D6" s="267"/>
      <c r="E6" s="267"/>
      <c r="F6" s="267"/>
      <c r="G6" s="267"/>
      <c r="H6" s="267"/>
      <c r="I6" s="267"/>
      <c r="J6" s="267"/>
      <c r="K6" s="267"/>
      <c r="L6" s="267"/>
      <c r="M6" s="267"/>
      <c r="N6" s="267"/>
      <c r="O6" s="267"/>
    </row>
    <row r="7" spans="1:15">
      <c r="B7" s="549"/>
    </row>
    <row r="8" spans="1:15">
      <c r="B8" s="549"/>
    </row>
    <row r="9" spans="1:15" ht="14.25">
      <c r="B9" s="631"/>
      <c r="C9" s="631"/>
      <c r="D9" s="269"/>
      <c r="E9" s="269"/>
      <c r="F9" s="269"/>
      <c r="G9" s="269"/>
      <c r="H9" s="269"/>
      <c r="I9" s="269"/>
      <c r="J9" s="269"/>
      <c r="K9" s="265"/>
      <c r="L9" s="270"/>
      <c r="M9" s="265"/>
      <c r="N9" s="265"/>
    </row>
    <row r="10" spans="1:15" ht="14.25">
      <c r="B10" s="282"/>
      <c r="C10" s="282"/>
      <c r="D10" s="265"/>
      <c r="E10" s="265"/>
      <c r="F10" s="1046" t="s">
        <v>0</v>
      </c>
      <c r="G10" s="1046"/>
      <c r="H10" s="1020"/>
      <c r="I10" s="1020"/>
      <c r="K10" s="265"/>
      <c r="L10" s="270"/>
      <c r="M10" s="273"/>
      <c r="N10" s="265"/>
    </row>
    <row r="11" spans="1:15" ht="14.25">
      <c r="B11" s="282"/>
      <c r="C11" s="282"/>
      <c r="D11" s="265"/>
      <c r="E11" s="265"/>
      <c r="F11" s="265"/>
      <c r="G11" s="270" t="s">
        <v>261</v>
      </c>
      <c r="H11" s="630" t="s">
        <v>262</v>
      </c>
      <c r="I11" s="272"/>
      <c r="J11" s="272"/>
      <c r="K11" s="277"/>
      <c r="L11" s="270"/>
      <c r="M11" s="265"/>
      <c r="N11" s="265"/>
    </row>
    <row r="12" spans="1:15" ht="14.25">
      <c r="B12" s="282"/>
      <c r="C12" s="282"/>
      <c r="D12" s="265"/>
      <c r="E12" s="265"/>
      <c r="F12" s="265"/>
      <c r="G12" s="270" t="s">
        <v>263</v>
      </c>
      <c r="H12" s="630" t="s">
        <v>264</v>
      </c>
      <c r="I12" s="272"/>
      <c r="J12" s="272"/>
      <c r="K12" s="277"/>
      <c r="L12" s="270"/>
      <c r="M12" s="265"/>
      <c r="N12" s="265"/>
    </row>
    <row r="13" spans="1:15">
      <c r="B13" s="282"/>
      <c r="C13" s="282"/>
      <c r="D13" s="265"/>
      <c r="E13" s="265"/>
      <c r="F13" s="265"/>
      <c r="G13" s="270" t="s">
        <v>265</v>
      </c>
      <c r="H13" s="630" t="s">
        <v>266</v>
      </c>
    </row>
    <row r="14" spans="1:15" ht="14.25">
      <c r="B14" s="282"/>
      <c r="C14" s="282"/>
      <c r="D14" s="265"/>
      <c r="E14" s="265"/>
      <c r="F14" s="265"/>
      <c r="G14" s="270" t="s">
        <v>7</v>
      </c>
      <c r="H14" s="265" t="s">
        <v>267</v>
      </c>
      <c r="I14" s="272"/>
      <c r="J14" s="272"/>
      <c r="K14" s="272"/>
      <c r="L14" s="272"/>
    </row>
    <row r="15" spans="1:15" ht="14.25">
      <c r="B15" s="282"/>
      <c r="C15" s="282"/>
      <c r="D15" s="265"/>
      <c r="E15" s="265"/>
      <c r="F15" s="265"/>
      <c r="G15" s="270" t="s">
        <v>8</v>
      </c>
      <c r="H15" s="265" t="s">
        <v>268</v>
      </c>
      <c r="I15" s="272"/>
      <c r="J15" s="272"/>
      <c r="K15" s="272"/>
      <c r="L15" s="272"/>
    </row>
    <row r="16" spans="1:15" ht="14.25">
      <c r="B16" s="282"/>
      <c r="C16" s="282"/>
      <c r="D16" s="265"/>
      <c r="E16" s="265"/>
      <c r="F16" s="265"/>
      <c r="G16" s="270" t="s">
        <v>10</v>
      </c>
      <c r="H16" s="265" t="s">
        <v>269</v>
      </c>
      <c r="I16" s="272"/>
      <c r="J16" s="272"/>
      <c r="K16" s="272"/>
      <c r="L16" s="272"/>
    </row>
    <row r="17" spans="1:15" ht="14.25">
      <c r="B17" s="282"/>
      <c r="C17" s="282"/>
      <c r="D17" s="265"/>
      <c r="E17" s="265"/>
      <c r="F17" s="265"/>
      <c r="G17" s="270" t="s">
        <v>185</v>
      </c>
      <c r="H17" s="265" t="s">
        <v>270</v>
      </c>
      <c r="I17" s="272"/>
      <c r="J17" s="272"/>
      <c r="K17" s="272"/>
      <c r="L17" s="272"/>
    </row>
    <row r="18" spans="1:15" ht="14.25">
      <c r="B18" s="282"/>
      <c r="C18" s="282"/>
      <c r="D18" s="265"/>
      <c r="E18" s="265"/>
      <c r="F18" s="265"/>
      <c r="G18" s="270"/>
      <c r="H18" s="265" t="s">
        <v>271</v>
      </c>
      <c r="I18" s="272"/>
      <c r="J18" s="272"/>
      <c r="K18" s="272"/>
      <c r="L18" s="272"/>
    </row>
    <row r="19" spans="1:15" ht="14.25">
      <c r="B19" s="282"/>
      <c r="C19" s="282"/>
      <c r="D19" s="265"/>
      <c r="E19" s="265"/>
      <c r="F19" s="265"/>
      <c r="G19" s="270" t="s">
        <v>14</v>
      </c>
      <c r="H19" s="265" t="s">
        <v>272</v>
      </c>
      <c r="I19" s="275"/>
      <c r="J19" s="275"/>
      <c r="K19" s="275"/>
      <c r="L19" s="275"/>
    </row>
    <row r="20" spans="1:15" ht="14.25">
      <c r="B20" s="282"/>
      <c r="C20" s="282"/>
      <c r="D20" s="265"/>
      <c r="E20" s="265"/>
      <c r="F20" s="265"/>
      <c r="G20" s="270" t="s">
        <v>18</v>
      </c>
      <c r="H20" s="265" t="s">
        <v>273</v>
      </c>
      <c r="I20" s="275"/>
      <c r="J20" s="275"/>
      <c r="K20" s="275"/>
      <c r="L20" s="275"/>
    </row>
    <row r="21" spans="1:15" ht="14.25">
      <c r="B21" s="282"/>
      <c r="C21" s="282"/>
      <c r="D21" s="265"/>
      <c r="E21" s="265"/>
      <c r="F21" s="265"/>
      <c r="G21" s="270" t="s">
        <v>274</v>
      </c>
      <c r="H21" s="630" t="s">
        <v>275</v>
      </c>
      <c r="I21" s="275"/>
      <c r="J21" s="275"/>
      <c r="K21" s="275"/>
      <c r="L21" s="275"/>
    </row>
    <row r="22" spans="1:15" ht="14.25">
      <c r="B22" s="282"/>
      <c r="C22" s="282"/>
      <c r="D22" s="265"/>
      <c r="E22" s="265"/>
      <c r="F22" s="265"/>
      <c r="G22" s="270" t="s">
        <v>276</v>
      </c>
      <c r="H22" s="630" t="s">
        <v>277</v>
      </c>
      <c r="I22" s="275"/>
      <c r="J22" s="275"/>
      <c r="K22" s="275"/>
      <c r="L22" s="275"/>
    </row>
    <row r="23" spans="1:15" ht="14.25">
      <c r="B23" s="282"/>
      <c r="C23" s="282"/>
      <c r="D23" s="265"/>
      <c r="E23" s="265"/>
      <c r="F23" s="265"/>
      <c r="G23" s="270" t="s">
        <v>26</v>
      </c>
      <c r="H23" s="630" t="s">
        <v>278</v>
      </c>
      <c r="I23" s="275"/>
      <c r="J23" s="275"/>
      <c r="K23" s="275"/>
      <c r="L23" s="275"/>
    </row>
    <row r="24" spans="1:15" ht="13.5" customHeight="1">
      <c r="B24" s="282"/>
      <c r="C24" s="282"/>
      <c r="D24" s="265"/>
      <c r="E24" s="265"/>
      <c r="F24" s="265"/>
      <c r="G24" s="270" t="s">
        <v>28</v>
      </c>
      <c r="H24" s="278" t="s">
        <v>279</v>
      </c>
      <c r="I24" s="275"/>
      <c r="J24" s="275"/>
      <c r="K24" s="275"/>
      <c r="L24" s="275"/>
    </row>
    <row r="25" spans="1:15" s="265" customFormat="1" ht="15" thickBot="1">
      <c r="A25" s="1111" t="s">
        <v>30</v>
      </c>
      <c r="B25" s="1033"/>
      <c r="C25" s="1033"/>
      <c r="D25" s="1033"/>
      <c r="E25" s="1033"/>
      <c r="F25" s="1033"/>
      <c r="G25" s="1033"/>
      <c r="H25" s="1033"/>
      <c r="I25" s="1033"/>
      <c r="J25" s="1033"/>
      <c r="K25" s="1033"/>
      <c r="L25" s="1033"/>
      <c r="M25" s="1033"/>
      <c r="N25" s="1033"/>
      <c r="O25" s="1033"/>
    </row>
    <row r="26" spans="1:15" s="265" customFormat="1" ht="14.25">
      <c r="A26" s="1105" t="s">
        <v>280</v>
      </c>
      <c r="B26" s="1106"/>
      <c r="C26" s="1106"/>
      <c r="D26" s="1107"/>
      <c r="E26" s="1108" t="s">
        <v>281</v>
      </c>
      <c r="F26" s="1010"/>
      <c r="G26" s="1010"/>
      <c r="H26" s="1010"/>
      <c r="I26" s="1010"/>
      <c r="J26" s="1010"/>
      <c r="K26" s="1109"/>
      <c r="L26" s="1105" t="s">
        <v>282</v>
      </c>
      <c r="M26" s="1010"/>
      <c r="N26" s="1010"/>
      <c r="O26" s="1109"/>
    </row>
    <row r="27" spans="1:15" s="265" customFormat="1" ht="12.75" customHeight="1">
      <c r="A27" s="1028" t="s">
        <v>33</v>
      </c>
      <c r="B27" s="1029"/>
      <c r="C27" s="1029"/>
      <c r="D27" s="279" t="s">
        <v>34</v>
      </c>
      <c r="E27" s="1028" t="s">
        <v>33</v>
      </c>
      <c r="F27" s="1020"/>
      <c r="G27" s="1020"/>
      <c r="H27" s="1020"/>
      <c r="I27" s="1093" t="s">
        <v>35</v>
      </c>
      <c r="J27" s="1115"/>
      <c r="K27" s="1094"/>
      <c r="L27" s="1028" t="s">
        <v>33</v>
      </c>
      <c r="M27" s="1020"/>
      <c r="N27" s="1095" t="s">
        <v>35</v>
      </c>
      <c r="O27" s="1096"/>
    </row>
    <row r="28" spans="1:15" s="265" customFormat="1" ht="12.75" customHeight="1">
      <c r="A28" s="1028" t="s">
        <v>199</v>
      </c>
      <c r="B28" s="1029"/>
      <c r="C28" s="1029"/>
      <c r="D28" s="280">
        <v>0</v>
      </c>
      <c r="E28" s="1028" t="s">
        <v>199</v>
      </c>
      <c r="F28" s="1020"/>
      <c r="G28" s="1020"/>
      <c r="H28" s="1020"/>
      <c r="I28" s="1102">
        <v>450</v>
      </c>
      <c r="J28" s="1115"/>
      <c r="K28" s="1094"/>
      <c r="L28" s="1028" t="s">
        <v>199</v>
      </c>
      <c r="M28" s="1020"/>
      <c r="N28" s="1103">
        <v>675</v>
      </c>
      <c r="O28" s="1104"/>
    </row>
    <row r="29" spans="1:15" s="265" customFormat="1" ht="12.75" customHeight="1">
      <c r="A29" s="1028" t="s">
        <v>37</v>
      </c>
      <c r="B29" s="1029"/>
      <c r="C29" s="1029"/>
      <c r="D29" s="279" t="s">
        <v>38</v>
      </c>
      <c r="E29" s="1028" t="s">
        <v>37</v>
      </c>
      <c r="F29" s="1020"/>
      <c r="G29" s="1020"/>
      <c r="H29" s="1020"/>
      <c r="I29" s="1093" t="s">
        <v>200</v>
      </c>
      <c r="J29" s="1115"/>
      <c r="K29" s="1094"/>
      <c r="L29" s="1028" t="s">
        <v>37</v>
      </c>
      <c r="M29" s="1020"/>
      <c r="N29" s="1095" t="s">
        <v>201</v>
      </c>
      <c r="O29" s="1096"/>
    </row>
    <row r="30" spans="1:15" s="265" customFormat="1" ht="12.75" customHeight="1">
      <c r="A30" s="1028" t="s">
        <v>202</v>
      </c>
      <c r="B30" s="1029"/>
      <c r="C30" s="1029"/>
      <c r="D30" s="279" t="s">
        <v>283</v>
      </c>
      <c r="E30" s="1028" t="s">
        <v>204</v>
      </c>
      <c r="F30" s="1029"/>
      <c r="G30" s="1029"/>
      <c r="H30" s="1029"/>
      <c r="I30" s="1093" t="s">
        <v>284</v>
      </c>
      <c r="J30" s="1093"/>
      <c r="K30" s="1117"/>
      <c r="L30" s="1028" t="s">
        <v>40</v>
      </c>
      <c r="M30" s="1029"/>
      <c r="N30" s="1095" t="s">
        <v>284</v>
      </c>
      <c r="O30" s="1096"/>
    </row>
    <row r="31" spans="1:15" s="265" customFormat="1" ht="12.75" customHeight="1" thickBot="1">
      <c r="A31" s="1031" t="s">
        <v>285</v>
      </c>
      <c r="B31" s="1032"/>
      <c r="C31" s="1032"/>
      <c r="D31" s="281" t="s">
        <v>286</v>
      </c>
      <c r="E31" s="1031" t="s">
        <v>285</v>
      </c>
      <c r="F31" s="1032"/>
      <c r="G31" s="1032"/>
      <c r="H31" s="1032"/>
      <c r="I31" s="1097" t="s">
        <v>287</v>
      </c>
      <c r="J31" s="1097"/>
      <c r="K31" s="1116"/>
      <c r="L31" s="1031" t="s">
        <v>285</v>
      </c>
      <c r="M31" s="1032"/>
      <c r="N31" s="1033" t="s">
        <v>287</v>
      </c>
      <c r="O31" s="1034"/>
    </row>
    <row r="32" spans="1:15" ht="14.25">
      <c r="B32" s="282"/>
      <c r="C32" s="282"/>
      <c r="D32" s="277"/>
      <c r="E32" s="277"/>
      <c r="F32" s="265"/>
      <c r="G32" s="265"/>
      <c r="H32" s="270"/>
      <c r="I32" s="265"/>
      <c r="J32" s="265"/>
      <c r="K32" s="275"/>
      <c r="L32" s="265"/>
    </row>
    <row r="33" spans="1:15" s="265" customFormat="1" ht="12.75" customHeight="1">
      <c r="D33" s="277"/>
      <c r="E33" s="277"/>
      <c r="F33" s="1019"/>
      <c r="G33" s="1020"/>
      <c r="H33" s="1020"/>
      <c r="I33" s="1020"/>
      <c r="J33" s="1020"/>
      <c r="K33" s="558"/>
      <c r="L33" s="558"/>
      <c r="M33" s="270"/>
    </row>
    <row r="34" spans="1:15" s="265" customFormat="1" ht="12.75" customHeight="1">
      <c r="D34" s="277"/>
      <c r="E34" s="277"/>
      <c r="F34" s="1019"/>
      <c r="G34" s="1020"/>
      <c r="H34" s="1020"/>
      <c r="I34" s="1020"/>
      <c r="J34" s="1020"/>
      <c r="K34" s="558"/>
      <c r="L34" s="558"/>
      <c r="M34" s="270"/>
    </row>
    <row r="35" spans="1:15" ht="15" thickBot="1">
      <c r="B35" s="282"/>
      <c r="C35" s="282"/>
      <c r="D35" s="265"/>
      <c r="E35" s="265"/>
      <c r="F35" s="446"/>
      <c r="G35" s="446"/>
      <c r="H35" s="270"/>
      <c r="I35" s="265"/>
      <c r="J35" s="265"/>
      <c r="K35" s="275"/>
      <c r="L35" s="265"/>
    </row>
    <row r="36" spans="1:15" ht="13.5" thickBot="1">
      <c r="B36" s="282"/>
      <c r="C36" s="282"/>
      <c r="D36" s="265"/>
      <c r="E36" s="265"/>
      <c r="F36" s="1063" t="s">
        <v>43</v>
      </c>
      <c r="G36" s="1022"/>
      <c r="H36" s="1023" t="s">
        <v>44</v>
      </c>
      <c r="I36" s="1024"/>
      <c r="J36" s="1101"/>
      <c r="K36" s="1003"/>
      <c r="L36" s="1003"/>
      <c r="M36" s="1003"/>
      <c r="N36" s="1003"/>
      <c r="O36" s="1025"/>
    </row>
    <row r="37" spans="1:15" ht="58.5" customHeight="1" thickBot="1">
      <c r="A37" s="289" t="s">
        <v>45</v>
      </c>
      <c r="B37" s="289" t="s">
        <v>46</v>
      </c>
      <c r="C37" s="629" t="s">
        <v>47</v>
      </c>
      <c r="D37" s="290" t="s">
        <v>48</v>
      </c>
      <c r="E37" s="290" t="s">
        <v>49</v>
      </c>
      <c r="F37" s="290" t="s">
        <v>50</v>
      </c>
      <c r="G37" s="289" t="s">
        <v>51</v>
      </c>
      <c r="H37" s="290" t="s">
        <v>52</v>
      </c>
      <c r="I37" s="289" t="s">
        <v>51</v>
      </c>
      <c r="J37" s="628" t="s">
        <v>53</v>
      </c>
      <c r="K37" s="289" t="s">
        <v>51</v>
      </c>
      <c r="L37" s="290" t="s">
        <v>54</v>
      </c>
      <c r="M37" s="289" t="s">
        <v>51</v>
      </c>
      <c r="N37" s="290" t="s">
        <v>55</v>
      </c>
      <c r="O37" s="289" t="s">
        <v>51</v>
      </c>
    </row>
    <row r="38" spans="1:15" s="266" customFormat="1" ht="13.5" thickBot="1">
      <c r="A38" s="1014">
        <v>11</v>
      </c>
      <c r="B38" s="1118"/>
      <c r="C38" s="619" t="s">
        <v>288</v>
      </c>
      <c r="D38" s="618" t="s">
        <v>289</v>
      </c>
      <c r="E38" s="617">
        <v>15524.63</v>
      </c>
      <c r="F38" s="510">
        <f>SUM(E38,E39,E40)*(1-76%)</f>
        <v>3811.5911999999998</v>
      </c>
      <c r="G38" s="1011">
        <f>F38*B38</f>
        <v>0</v>
      </c>
      <c r="H38" s="616">
        <f>F38*0.0845</f>
        <v>322.07945640000003</v>
      </c>
      <c r="I38" s="1011">
        <f>H38*B38</f>
        <v>0</v>
      </c>
      <c r="J38" s="615">
        <f>F38*0.032</f>
        <v>121.9709184</v>
      </c>
      <c r="K38" s="1123">
        <f>J38*B38</f>
        <v>0</v>
      </c>
      <c r="L38" s="30">
        <f>F38*0.0263</f>
        <v>100.24484855999999</v>
      </c>
      <c r="M38" s="1011">
        <f>L38*B38</f>
        <v>0</v>
      </c>
      <c r="N38" s="30">
        <f>F38*0.0219</f>
        <v>83.473847280000001</v>
      </c>
      <c r="O38" s="1011">
        <f>N38*B38</f>
        <v>0</v>
      </c>
    </row>
    <row r="39" spans="1:15" ht="15" thickBot="1">
      <c r="A39" s="1015"/>
      <c r="B39" s="1119"/>
      <c r="C39" s="614">
        <v>135700</v>
      </c>
      <c r="D39" s="613" t="s">
        <v>240</v>
      </c>
      <c r="E39" s="612">
        <v>282</v>
      </c>
      <c r="F39" s="300" t="s">
        <v>35</v>
      </c>
      <c r="G39" s="1121"/>
      <c r="H39" s="300" t="s">
        <v>35</v>
      </c>
      <c r="I39" s="1121"/>
      <c r="J39" s="627" t="s">
        <v>35</v>
      </c>
      <c r="K39" s="1124"/>
      <c r="L39" s="301" t="s">
        <v>35</v>
      </c>
      <c r="M39" s="1084"/>
      <c r="N39" s="301" t="s">
        <v>35</v>
      </c>
      <c r="O39" s="1084"/>
    </row>
    <row r="40" spans="1:15" ht="13.5" thickBot="1">
      <c r="A40" s="1016"/>
      <c r="B40" s="1017"/>
      <c r="C40" s="544" t="s">
        <v>56</v>
      </c>
      <c r="D40" s="575" t="s">
        <v>57</v>
      </c>
      <c r="E40" s="610">
        <v>75</v>
      </c>
      <c r="F40" s="31" t="s">
        <v>35</v>
      </c>
      <c r="G40" s="1122"/>
      <c r="H40" s="31" t="s">
        <v>35</v>
      </c>
      <c r="I40" s="1122"/>
      <c r="J40" s="611" t="s">
        <v>35</v>
      </c>
      <c r="K40" s="1124"/>
      <c r="L40" s="32" t="s">
        <v>35</v>
      </c>
      <c r="M40" s="1084"/>
      <c r="N40" s="32" t="s">
        <v>35</v>
      </c>
      <c r="O40" s="1120"/>
    </row>
    <row r="41" spans="1:15" ht="13.5" thickBot="1">
      <c r="A41" s="626"/>
      <c r="B41" s="308"/>
      <c r="C41" s="545"/>
      <c r="D41" s="537"/>
      <c r="E41" s="625"/>
      <c r="F41" s="312"/>
      <c r="G41" s="624"/>
      <c r="H41" s="33"/>
      <c r="I41" s="624"/>
      <c r="J41" s="33"/>
      <c r="K41" s="623"/>
      <c r="L41" s="622"/>
      <c r="M41" s="621"/>
      <c r="N41" s="621"/>
      <c r="O41" s="620"/>
    </row>
    <row r="42" spans="1:15" s="266" customFormat="1" ht="13.5" thickBot="1">
      <c r="A42" s="1014" t="s">
        <v>290</v>
      </c>
      <c r="B42" s="1118"/>
      <c r="C42" s="619" t="s">
        <v>288</v>
      </c>
      <c r="D42" s="618" t="s">
        <v>289</v>
      </c>
      <c r="E42" s="617">
        <v>15524.63</v>
      </c>
      <c r="F42" s="510">
        <f>SUM(E42,E43,E44)*(1-76%)</f>
        <v>3811.5911999999998</v>
      </c>
      <c r="G42" s="1011">
        <f>F42*B42</f>
        <v>0</v>
      </c>
      <c r="H42" s="616">
        <f>F42*0.0845+I28/12</f>
        <v>359.57945640000003</v>
      </c>
      <c r="I42" s="1011">
        <f>H42*B42</f>
        <v>0</v>
      </c>
      <c r="J42" s="615">
        <f>F42*0.032+I28/12</f>
        <v>159.47091840000002</v>
      </c>
      <c r="K42" s="1123">
        <f>J42*B42</f>
        <v>0</v>
      </c>
      <c r="L42" s="30">
        <f>F42*0.0263+I28/12</f>
        <v>137.74484855999998</v>
      </c>
      <c r="M42" s="1011">
        <f>L42*B42</f>
        <v>0</v>
      </c>
      <c r="N42" s="30">
        <f>F42*0.0219+I28/12</f>
        <v>120.97384728</v>
      </c>
      <c r="O42" s="1011">
        <f>N42*B42</f>
        <v>0</v>
      </c>
    </row>
    <row r="43" spans="1:15" ht="15" thickBot="1">
      <c r="A43" s="1015"/>
      <c r="B43" s="1119"/>
      <c r="C43" s="614">
        <v>135700</v>
      </c>
      <c r="D43" s="613" t="s">
        <v>240</v>
      </c>
      <c r="E43" s="612">
        <v>282</v>
      </c>
      <c r="F43" s="31" t="s">
        <v>35</v>
      </c>
      <c r="G43" s="1121"/>
      <c r="H43" s="31" t="s">
        <v>35</v>
      </c>
      <c r="I43" s="1121"/>
      <c r="J43" s="611" t="s">
        <v>35</v>
      </c>
      <c r="K43" s="1124"/>
      <c r="L43" s="32" t="s">
        <v>35</v>
      </c>
      <c r="M43" s="1084"/>
      <c r="N43" s="32" t="s">
        <v>35</v>
      </c>
      <c r="O43" s="1084"/>
    </row>
    <row r="44" spans="1:15" ht="13.5" thickBot="1">
      <c r="A44" s="1016"/>
      <c r="B44" s="1017"/>
      <c r="C44" s="544" t="s">
        <v>56</v>
      </c>
      <c r="D44" s="575" t="s">
        <v>57</v>
      </c>
      <c r="E44" s="610">
        <v>75</v>
      </c>
      <c r="F44" s="300" t="s">
        <v>35</v>
      </c>
      <c r="G44" s="1122"/>
      <c r="H44" s="300" t="s">
        <v>35</v>
      </c>
      <c r="I44" s="1122"/>
      <c r="J44" s="627" t="s">
        <v>35</v>
      </c>
      <c r="K44" s="1124"/>
      <c r="L44" s="301" t="s">
        <v>35</v>
      </c>
      <c r="M44" s="1084"/>
      <c r="N44" s="301" t="s">
        <v>35</v>
      </c>
      <c r="O44" s="1120"/>
    </row>
    <row r="45" spans="1:15" ht="13.5" thickBot="1">
      <c r="A45" s="626"/>
      <c r="B45" s="308"/>
      <c r="C45" s="545"/>
      <c r="D45" s="537"/>
      <c r="E45" s="625"/>
      <c r="F45" s="33"/>
      <c r="G45" s="624"/>
      <c r="H45" s="33"/>
      <c r="I45" s="624"/>
      <c r="J45" s="33"/>
      <c r="K45" s="623"/>
      <c r="L45" s="622"/>
      <c r="M45" s="621"/>
      <c r="N45" s="621"/>
      <c r="O45" s="620"/>
    </row>
    <row r="46" spans="1:15" s="266" customFormat="1" ht="13.5" thickBot="1">
      <c r="A46" s="1014" t="s">
        <v>291</v>
      </c>
      <c r="B46" s="1118"/>
      <c r="C46" s="619" t="s">
        <v>288</v>
      </c>
      <c r="D46" s="618" t="s">
        <v>289</v>
      </c>
      <c r="E46" s="617">
        <v>15524.63</v>
      </c>
      <c r="F46" s="510">
        <f>SUM(E46,E47,E48)*(1-76%)</f>
        <v>3811.5911999999998</v>
      </c>
      <c r="G46" s="1011">
        <f>F46*B46</f>
        <v>0</v>
      </c>
      <c r="H46" s="616">
        <f>F46*0.0845+N28/12</f>
        <v>378.32945640000003</v>
      </c>
      <c r="I46" s="1011">
        <f>H46*B46</f>
        <v>0</v>
      </c>
      <c r="J46" s="615">
        <f>F46*0.032+N28/12</f>
        <v>178.22091840000002</v>
      </c>
      <c r="K46" s="1123">
        <f>J46*B46</f>
        <v>0</v>
      </c>
      <c r="L46" s="30">
        <f>F46*0.0263+N28/12</f>
        <v>156.49484855999998</v>
      </c>
      <c r="M46" s="1011">
        <f>L46*B46</f>
        <v>0</v>
      </c>
      <c r="N46" s="30">
        <f>F46*0.0219+N28/12</f>
        <v>139.72384728</v>
      </c>
      <c r="O46" s="1011">
        <f>N46*B46</f>
        <v>0</v>
      </c>
    </row>
    <row r="47" spans="1:15" ht="15" thickBot="1">
      <c r="A47" s="1015"/>
      <c r="B47" s="1119"/>
      <c r="C47" s="614">
        <v>135700</v>
      </c>
      <c r="D47" s="613" t="s">
        <v>240</v>
      </c>
      <c r="E47" s="612">
        <v>282</v>
      </c>
      <c r="F47" s="31" t="s">
        <v>35</v>
      </c>
      <c r="G47" s="1121"/>
      <c r="H47" s="31" t="s">
        <v>35</v>
      </c>
      <c r="I47" s="1121"/>
      <c r="J47" s="611" t="s">
        <v>35</v>
      </c>
      <c r="K47" s="1124"/>
      <c r="L47" s="32" t="s">
        <v>35</v>
      </c>
      <c r="M47" s="1084"/>
      <c r="N47" s="32" t="s">
        <v>35</v>
      </c>
      <c r="O47" s="1084"/>
    </row>
    <row r="48" spans="1:15" ht="13.5" thickBot="1">
      <c r="A48" s="1015"/>
      <c r="B48" s="1119"/>
      <c r="C48" s="544" t="s">
        <v>56</v>
      </c>
      <c r="D48" s="575" t="s">
        <v>57</v>
      </c>
      <c r="E48" s="610">
        <v>75</v>
      </c>
      <c r="F48" s="31" t="s">
        <v>35</v>
      </c>
      <c r="G48" s="1121"/>
      <c r="H48" s="37" t="s">
        <v>35</v>
      </c>
      <c r="I48" s="1121"/>
      <c r="J48" s="609" t="s">
        <v>35</v>
      </c>
      <c r="K48" s="1128"/>
      <c r="L48" s="608" t="s">
        <v>35</v>
      </c>
      <c r="M48" s="1084"/>
      <c r="N48" s="608" t="s">
        <v>35</v>
      </c>
      <c r="O48" s="1120"/>
    </row>
    <row r="49" spans="1:16" ht="13.5" customHeight="1" thickBot="1">
      <c r="A49" s="1129" t="s">
        <v>59</v>
      </c>
      <c r="B49" s="1003"/>
      <c r="C49" s="1003"/>
      <c r="D49" s="1003"/>
      <c r="E49" s="1003"/>
      <c r="F49" s="1004"/>
      <c r="G49" s="1004"/>
      <c r="H49" s="1004"/>
      <c r="I49" s="1004"/>
      <c r="J49" s="1004"/>
      <c r="K49" s="1004"/>
      <c r="L49" s="1004"/>
      <c r="M49" s="1004"/>
      <c r="N49" s="1004"/>
      <c r="O49" s="1005"/>
    </row>
    <row r="50" spans="1:16" ht="13.5" thickBot="1">
      <c r="A50" s="1125"/>
      <c r="B50" s="318"/>
      <c r="C50" s="604" t="s">
        <v>103</v>
      </c>
      <c r="D50" s="607" t="s">
        <v>104</v>
      </c>
      <c r="E50" s="603">
        <v>129.99</v>
      </c>
      <c r="F50" s="602">
        <f t="shared" ref="F50:F77" si="0">E50*(1-40%)</f>
        <v>77.994</v>
      </c>
      <c r="G50" s="599">
        <f t="shared" ref="G50:G77" si="1">F50*B50</f>
        <v>0</v>
      </c>
      <c r="H50" s="39">
        <f t="shared" ref="H50:H77" si="2">F50*0.0845</f>
        <v>6.5904930000000004</v>
      </c>
      <c r="I50" s="599">
        <f t="shared" ref="I50:I77" si="3">H50*B50</f>
        <v>0</v>
      </c>
      <c r="J50" s="600">
        <f t="shared" ref="J50:J77" si="4">F50*0.032</f>
        <v>2.4958080000000002</v>
      </c>
      <c r="K50" s="599">
        <f t="shared" ref="K50:K77" si="5">J50*B50</f>
        <v>0</v>
      </c>
      <c r="L50" s="39">
        <f t="shared" ref="L50:L77" si="6">F50*0.0263</f>
        <v>2.0512421999999999</v>
      </c>
      <c r="M50" s="599">
        <f t="shared" ref="M50:M77" si="7">L50*B50</f>
        <v>0</v>
      </c>
      <c r="N50" s="600">
        <f t="shared" ref="N50:N77" si="8">F50*0.0219</f>
        <v>1.7080686</v>
      </c>
      <c r="O50" s="599">
        <f t="shared" ref="O50:O77" si="9">N50*B50</f>
        <v>0</v>
      </c>
      <c r="P50" s="598"/>
    </row>
    <row r="51" spans="1:16" ht="13.5" thickBot="1">
      <c r="A51" s="1086"/>
      <c r="B51" s="318"/>
      <c r="C51" s="297" t="s">
        <v>105</v>
      </c>
      <c r="D51" s="605" t="s">
        <v>325</v>
      </c>
      <c r="E51" s="603">
        <v>399</v>
      </c>
      <c r="F51" s="602">
        <f t="shared" si="0"/>
        <v>239.39999999999998</v>
      </c>
      <c r="G51" s="601">
        <f t="shared" si="1"/>
        <v>0</v>
      </c>
      <c r="H51" s="39">
        <f t="shared" si="2"/>
        <v>20.229299999999999</v>
      </c>
      <c r="I51" s="599">
        <f t="shared" si="3"/>
        <v>0</v>
      </c>
      <c r="J51" s="600">
        <f t="shared" si="4"/>
        <v>7.6607999999999992</v>
      </c>
      <c r="K51" s="599">
        <f t="shared" si="5"/>
        <v>0</v>
      </c>
      <c r="L51" s="39">
        <f t="shared" si="6"/>
        <v>6.2962199999999999</v>
      </c>
      <c r="M51" s="599">
        <f t="shared" si="7"/>
        <v>0</v>
      </c>
      <c r="N51" s="600">
        <f t="shared" si="8"/>
        <v>5.2428599999999994</v>
      </c>
      <c r="O51" s="599">
        <f t="shared" si="9"/>
        <v>0</v>
      </c>
      <c r="P51" s="598"/>
    </row>
    <row r="52" spans="1:16" ht="13.5" thickBot="1">
      <c r="A52" s="1086"/>
      <c r="B52" s="319"/>
      <c r="C52" s="604" t="s">
        <v>107</v>
      </c>
      <c r="D52" s="605" t="s">
        <v>108</v>
      </c>
      <c r="E52" s="603">
        <v>250</v>
      </c>
      <c r="F52" s="602">
        <f t="shared" si="0"/>
        <v>150</v>
      </c>
      <c r="G52" s="601">
        <f t="shared" si="1"/>
        <v>0</v>
      </c>
      <c r="H52" s="39">
        <f t="shared" si="2"/>
        <v>12.675000000000001</v>
      </c>
      <c r="I52" s="599">
        <f t="shared" si="3"/>
        <v>0</v>
      </c>
      <c r="J52" s="600">
        <f t="shared" si="4"/>
        <v>4.8</v>
      </c>
      <c r="K52" s="599">
        <f t="shared" si="5"/>
        <v>0</v>
      </c>
      <c r="L52" s="39">
        <f t="shared" si="6"/>
        <v>3.9450000000000003</v>
      </c>
      <c r="M52" s="599">
        <f t="shared" si="7"/>
        <v>0</v>
      </c>
      <c r="N52" s="600">
        <f t="shared" si="8"/>
        <v>3.2849999999999997</v>
      </c>
      <c r="O52" s="599">
        <f t="shared" si="9"/>
        <v>0</v>
      </c>
      <c r="P52" s="598"/>
    </row>
    <row r="53" spans="1:16" ht="13.5" thickBot="1">
      <c r="A53" s="1086"/>
      <c r="B53" s="319"/>
      <c r="C53" s="297" t="s">
        <v>109</v>
      </c>
      <c r="D53" s="605" t="s">
        <v>110</v>
      </c>
      <c r="E53" s="603">
        <v>400</v>
      </c>
      <c r="F53" s="602">
        <f t="shared" si="0"/>
        <v>240</v>
      </c>
      <c r="G53" s="601">
        <f t="shared" si="1"/>
        <v>0</v>
      </c>
      <c r="H53" s="39">
        <f t="shared" si="2"/>
        <v>20.28</v>
      </c>
      <c r="I53" s="599">
        <f t="shared" si="3"/>
        <v>0</v>
      </c>
      <c r="J53" s="600">
        <f t="shared" si="4"/>
        <v>7.68</v>
      </c>
      <c r="K53" s="599">
        <f t="shared" si="5"/>
        <v>0</v>
      </c>
      <c r="L53" s="39">
        <f t="shared" si="6"/>
        <v>6.3120000000000003</v>
      </c>
      <c r="M53" s="599">
        <f t="shared" si="7"/>
        <v>0</v>
      </c>
      <c r="N53" s="600">
        <f t="shared" si="8"/>
        <v>5.2560000000000002</v>
      </c>
      <c r="O53" s="599">
        <f t="shared" si="9"/>
        <v>0</v>
      </c>
      <c r="P53" s="598"/>
    </row>
    <row r="54" spans="1:16" ht="13.5" thickBot="1">
      <c r="A54" s="1086"/>
      <c r="B54" s="318"/>
      <c r="C54" s="604" t="s">
        <v>111</v>
      </c>
      <c r="D54" s="607" t="s">
        <v>112</v>
      </c>
      <c r="E54" s="603">
        <v>499</v>
      </c>
      <c r="F54" s="602">
        <f t="shared" si="0"/>
        <v>299.39999999999998</v>
      </c>
      <c r="G54" s="599">
        <f t="shared" si="1"/>
        <v>0</v>
      </c>
      <c r="H54" s="39">
        <f t="shared" si="2"/>
        <v>25.299299999999999</v>
      </c>
      <c r="I54" s="599">
        <f t="shared" si="3"/>
        <v>0</v>
      </c>
      <c r="J54" s="600">
        <f t="shared" si="4"/>
        <v>9.5808</v>
      </c>
      <c r="K54" s="599">
        <f t="shared" si="5"/>
        <v>0</v>
      </c>
      <c r="L54" s="39">
        <f t="shared" si="6"/>
        <v>7.8742199999999993</v>
      </c>
      <c r="M54" s="599">
        <f t="shared" si="7"/>
        <v>0</v>
      </c>
      <c r="N54" s="600">
        <f t="shared" si="8"/>
        <v>6.5568599999999995</v>
      </c>
      <c r="O54" s="599">
        <f t="shared" si="9"/>
        <v>0</v>
      </c>
      <c r="P54" s="598"/>
    </row>
    <row r="55" spans="1:16" ht="13.5" thickBot="1">
      <c r="A55" s="1086"/>
      <c r="B55" s="318"/>
      <c r="C55" s="297" t="s">
        <v>77</v>
      </c>
      <c r="D55" s="605" t="s">
        <v>78</v>
      </c>
      <c r="E55" s="603">
        <v>329</v>
      </c>
      <c r="F55" s="602">
        <f t="shared" si="0"/>
        <v>197.4</v>
      </c>
      <c r="G55" s="601">
        <f t="shared" si="1"/>
        <v>0</v>
      </c>
      <c r="H55" s="39">
        <f t="shared" si="2"/>
        <v>16.680300000000003</v>
      </c>
      <c r="I55" s="599">
        <f t="shared" si="3"/>
        <v>0</v>
      </c>
      <c r="J55" s="600">
        <f t="shared" si="4"/>
        <v>6.3168000000000006</v>
      </c>
      <c r="K55" s="599">
        <f t="shared" si="5"/>
        <v>0</v>
      </c>
      <c r="L55" s="39">
        <f t="shared" si="6"/>
        <v>5.1916200000000003</v>
      </c>
      <c r="M55" s="599">
        <f t="shared" si="7"/>
        <v>0</v>
      </c>
      <c r="N55" s="600">
        <f t="shared" si="8"/>
        <v>4.3230599999999999</v>
      </c>
      <c r="O55" s="599">
        <f t="shared" si="9"/>
        <v>0</v>
      </c>
      <c r="P55" s="598"/>
    </row>
    <row r="56" spans="1:16" ht="13.5" thickBot="1">
      <c r="A56" s="1086"/>
      <c r="B56" s="318"/>
      <c r="C56" s="297" t="s">
        <v>292</v>
      </c>
      <c r="D56" s="298" t="s">
        <v>427</v>
      </c>
      <c r="E56" s="603">
        <v>1044.75</v>
      </c>
      <c r="F56" s="602">
        <f t="shared" si="0"/>
        <v>626.85</v>
      </c>
      <c r="G56" s="601">
        <f t="shared" si="1"/>
        <v>0</v>
      </c>
      <c r="H56" s="39">
        <f t="shared" si="2"/>
        <v>52.968825000000002</v>
      </c>
      <c r="I56" s="599">
        <f t="shared" si="3"/>
        <v>0</v>
      </c>
      <c r="J56" s="600">
        <f t="shared" si="4"/>
        <v>20.059200000000001</v>
      </c>
      <c r="K56" s="599">
        <f t="shared" si="5"/>
        <v>0</v>
      </c>
      <c r="L56" s="39">
        <f t="shared" si="6"/>
        <v>16.486155</v>
      </c>
      <c r="M56" s="599">
        <f t="shared" si="7"/>
        <v>0</v>
      </c>
      <c r="N56" s="600">
        <f t="shared" si="8"/>
        <v>13.728014999999999</v>
      </c>
      <c r="O56" s="599">
        <f t="shared" si="9"/>
        <v>0</v>
      </c>
      <c r="P56" s="598"/>
    </row>
    <row r="57" spans="1:16" ht="13.5" thickBot="1">
      <c r="A57" s="1086"/>
      <c r="B57" s="318"/>
      <c r="C57" s="297" t="s">
        <v>293</v>
      </c>
      <c r="D57" s="298" t="s">
        <v>3927</v>
      </c>
      <c r="E57" s="603">
        <v>1044.75</v>
      </c>
      <c r="F57" s="602">
        <f>E57*(1-40%)</f>
        <v>626.85</v>
      </c>
      <c r="G57" s="601">
        <f>F57*B57</f>
        <v>0</v>
      </c>
      <c r="H57" s="39">
        <f>F57*0.0845</f>
        <v>52.968825000000002</v>
      </c>
      <c r="I57" s="599">
        <f>H57*B57</f>
        <v>0</v>
      </c>
      <c r="J57" s="600">
        <f>F57*0.032</f>
        <v>20.059200000000001</v>
      </c>
      <c r="K57" s="599">
        <f>J57*B57</f>
        <v>0</v>
      </c>
      <c r="L57" s="39">
        <f>F57*0.0263</f>
        <v>16.486155</v>
      </c>
      <c r="M57" s="599">
        <f>L57*B57</f>
        <v>0</v>
      </c>
      <c r="N57" s="600">
        <f>F57*0.0219</f>
        <v>13.728014999999999</v>
      </c>
      <c r="O57" s="599">
        <f>N57*B57</f>
        <v>0</v>
      </c>
      <c r="P57" s="598"/>
    </row>
    <row r="58" spans="1:16" ht="13.5" thickBot="1">
      <c r="A58" s="1086"/>
      <c r="B58" s="318"/>
      <c r="C58" s="297" t="s">
        <v>294</v>
      </c>
      <c r="D58" s="298" t="s">
        <v>428</v>
      </c>
      <c r="E58" s="603">
        <v>5676.3</v>
      </c>
      <c r="F58" s="602">
        <f t="shared" si="0"/>
        <v>3405.78</v>
      </c>
      <c r="G58" s="601">
        <f t="shared" si="1"/>
        <v>0</v>
      </c>
      <c r="H58" s="39">
        <f t="shared" si="2"/>
        <v>287.78841000000006</v>
      </c>
      <c r="I58" s="599">
        <f t="shared" si="3"/>
        <v>0</v>
      </c>
      <c r="J58" s="600">
        <f t="shared" si="4"/>
        <v>108.98496000000002</v>
      </c>
      <c r="K58" s="599">
        <f t="shared" si="5"/>
        <v>0</v>
      </c>
      <c r="L58" s="39">
        <f t="shared" si="6"/>
        <v>89.57201400000001</v>
      </c>
      <c r="M58" s="599">
        <f t="shared" si="7"/>
        <v>0</v>
      </c>
      <c r="N58" s="600">
        <f t="shared" si="8"/>
        <v>74.586582000000007</v>
      </c>
      <c r="O58" s="599">
        <f t="shared" si="9"/>
        <v>0</v>
      </c>
      <c r="P58" s="598"/>
    </row>
    <row r="59" spans="1:16" ht="13.5" thickBot="1">
      <c r="A59" s="1086"/>
      <c r="B59" s="318"/>
      <c r="C59" s="297" t="s">
        <v>241</v>
      </c>
      <c r="D59" s="298" t="s">
        <v>3853</v>
      </c>
      <c r="E59" s="603">
        <v>235.4</v>
      </c>
      <c r="F59" s="602">
        <f t="shared" si="0"/>
        <v>141.24</v>
      </c>
      <c r="G59" s="601">
        <f t="shared" si="1"/>
        <v>0</v>
      </c>
      <c r="H59" s="39">
        <f t="shared" si="2"/>
        <v>11.934780000000002</v>
      </c>
      <c r="I59" s="599">
        <f t="shared" si="3"/>
        <v>0</v>
      </c>
      <c r="J59" s="600">
        <f t="shared" si="4"/>
        <v>4.5196800000000001</v>
      </c>
      <c r="K59" s="599">
        <f t="shared" si="5"/>
        <v>0</v>
      </c>
      <c r="L59" s="39">
        <f t="shared" si="6"/>
        <v>3.7146120000000002</v>
      </c>
      <c r="M59" s="599">
        <f t="shared" si="7"/>
        <v>0</v>
      </c>
      <c r="N59" s="600">
        <f t="shared" si="8"/>
        <v>3.093156</v>
      </c>
      <c r="O59" s="599">
        <f t="shared" si="9"/>
        <v>0</v>
      </c>
      <c r="P59" s="598"/>
    </row>
    <row r="60" spans="1:16" ht="13.5" thickBot="1">
      <c r="A60" s="1086"/>
      <c r="B60" s="318"/>
      <c r="C60" s="604" t="s">
        <v>242</v>
      </c>
      <c r="D60" s="607" t="s">
        <v>3854</v>
      </c>
      <c r="E60" s="603">
        <v>328.49</v>
      </c>
      <c r="F60" s="602">
        <f t="shared" si="0"/>
        <v>197.09399999999999</v>
      </c>
      <c r="G60" s="601">
        <f t="shared" si="1"/>
        <v>0</v>
      </c>
      <c r="H60" s="39">
        <f t="shared" si="2"/>
        <v>16.654443000000001</v>
      </c>
      <c r="I60" s="599">
        <f t="shared" si="3"/>
        <v>0</v>
      </c>
      <c r="J60" s="600">
        <f t="shared" si="4"/>
        <v>6.3070079999999997</v>
      </c>
      <c r="K60" s="599">
        <f t="shared" si="5"/>
        <v>0</v>
      </c>
      <c r="L60" s="39">
        <f t="shared" si="6"/>
        <v>5.1835721999999995</v>
      </c>
      <c r="M60" s="599">
        <f t="shared" si="7"/>
        <v>0</v>
      </c>
      <c r="N60" s="600">
        <f t="shared" si="8"/>
        <v>4.3163586</v>
      </c>
      <c r="O60" s="599">
        <f t="shared" si="9"/>
        <v>0</v>
      </c>
      <c r="P60" s="598"/>
    </row>
    <row r="61" spans="1:16" ht="13.5" thickBot="1">
      <c r="A61" s="1086"/>
      <c r="B61" s="323"/>
      <c r="C61" s="604" t="s">
        <v>117</v>
      </c>
      <c r="D61" s="605" t="s">
        <v>118</v>
      </c>
      <c r="E61" s="603">
        <v>999.38</v>
      </c>
      <c r="F61" s="602">
        <f t="shared" si="0"/>
        <v>599.62799999999993</v>
      </c>
      <c r="G61" s="601">
        <f t="shared" si="1"/>
        <v>0</v>
      </c>
      <c r="H61" s="39">
        <f t="shared" si="2"/>
        <v>50.668565999999998</v>
      </c>
      <c r="I61" s="599">
        <f t="shared" si="3"/>
        <v>0</v>
      </c>
      <c r="J61" s="600">
        <f t="shared" si="4"/>
        <v>19.188095999999998</v>
      </c>
      <c r="K61" s="599">
        <f t="shared" si="5"/>
        <v>0</v>
      </c>
      <c r="L61" s="39">
        <f t="shared" si="6"/>
        <v>15.770216399999999</v>
      </c>
      <c r="M61" s="599">
        <f t="shared" si="7"/>
        <v>0</v>
      </c>
      <c r="N61" s="600">
        <f t="shared" si="8"/>
        <v>13.131853199999998</v>
      </c>
      <c r="O61" s="599">
        <f t="shared" si="9"/>
        <v>0</v>
      </c>
      <c r="P61" s="598"/>
    </row>
    <row r="62" spans="1:16" ht="13.5" thickBot="1">
      <c r="A62" s="1086"/>
      <c r="B62" s="318"/>
      <c r="C62" s="297" t="s">
        <v>119</v>
      </c>
      <c r="D62" s="605" t="s">
        <v>120</v>
      </c>
      <c r="E62" s="603">
        <v>222.6</v>
      </c>
      <c r="F62" s="602">
        <f t="shared" si="0"/>
        <v>133.56</v>
      </c>
      <c r="G62" s="601">
        <f t="shared" si="1"/>
        <v>0</v>
      </c>
      <c r="H62" s="39">
        <f t="shared" si="2"/>
        <v>11.285820000000001</v>
      </c>
      <c r="I62" s="599">
        <f t="shared" si="3"/>
        <v>0</v>
      </c>
      <c r="J62" s="600">
        <f t="shared" si="4"/>
        <v>4.2739200000000004</v>
      </c>
      <c r="K62" s="599">
        <f t="shared" si="5"/>
        <v>0</v>
      </c>
      <c r="L62" s="39">
        <f t="shared" si="6"/>
        <v>3.5126280000000003</v>
      </c>
      <c r="M62" s="599">
        <f t="shared" si="7"/>
        <v>0</v>
      </c>
      <c r="N62" s="600">
        <f t="shared" si="8"/>
        <v>2.9249640000000001</v>
      </c>
      <c r="O62" s="599">
        <f t="shared" si="9"/>
        <v>0</v>
      </c>
      <c r="P62" s="598"/>
    </row>
    <row r="63" spans="1:16" ht="13.5" thickBot="1">
      <c r="A63" s="1086"/>
      <c r="B63" s="318"/>
      <c r="C63" s="297">
        <v>45111136</v>
      </c>
      <c r="D63" s="605" t="s">
        <v>3928</v>
      </c>
      <c r="E63" s="603">
        <v>1100</v>
      </c>
      <c r="F63" s="602">
        <f t="shared" si="0"/>
        <v>660</v>
      </c>
      <c r="G63" s="601">
        <f t="shared" si="1"/>
        <v>0</v>
      </c>
      <c r="H63" s="39">
        <f t="shared" si="2"/>
        <v>55.77</v>
      </c>
      <c r="I63" s="599">
        <f t="shared" si="3"/>
        <v>0</v>
      </c>
      <c r="J63" s="600">
        <f t="shared" si="4"/>
        <v>21.12</v>
      </c>
      <c r="K63" s="599">
        <f t="shared" si="5"/>
        <v>0</v>
      </c>
      <c r="L63" s="39">
        <f t="shared" si="6"/>
        <v>17.358000000000001</v>
      </c>
      <c r="M63" s="599">
        <f t="shared" si="7"/>
        <v>0</v>
      </c>
      <c r="N63" s="600">
        <f t="shared" si="8"/>
        <v>14.453999999999999</v>
      </c>
      <c r="O63" s="599">
        <f t="shared" si="9"/>
        <v>0</v>
      </c>
      <c r="P63" s="598"/>
    </row>
    <row r="64" spans="1:16" ht="13.5" thickBot="1">
      <c r="A64" s="1086"/>
      <c r="B64" s="319"/>
      <c r="C64" s="297">
        <v>45206712</v>
      </c>
      <c r="D64" s="605" t="s">
        <v>3986</v>
      </c>
      <c r="E64" s="603">
        <v>2625</v>
      </c>
      <c r="F64" s="602">
        <f t="shared" si="0"/>
        <v>1575</v>
      </c>
      <c r="G64" s="601">
        <f t="shared" si="1"/>
        <v>0</v>
      </c>
      <c r="H64" s="39">
        <f t="shared" si="2"/>
        <v>133.08750000000001</v>
      </c>
      <c r="I64" s="599">
        <f t="shared" si="3"/>
        <v>0</v>
      </c>
      <c r="J64" s="600">
        <f t="shared" si="4"/>
        <v>50.4</v>
      </c>
      <c r="K64" s="599">
        <f t="shared" si="5"/>
        <v>0</v>
      </c>
      <c r="L64" s="39">
        <f t="shared" si="6"/>
        <v>41.422499999999999</v>
      </c>
      <c r="M64" s="599">
        <f t="shared" si="7"/>
        <v>0</v>
      </c>
      <c r="N64" s="600">
        <f t="shared" si="8"/>
        <v>34.4925</v>
      </c>
      <c r="O64" s="599">
        <f t="shared" si="9"/>
        <v>0</v>
      </c>
      <c r="P64" s="598"/>
    </row>
    <row r="65" spans="1:16" ht="26.25" thickBot="1">
      <c r="A65" s="1086"/>
      <c r="B65" s="318"/>
      <c r="C65" s="297" t="s">
        <v>244</v>
      </c>
      <c r="D65" s="605" t="s">
        <v>3855</v>
      </c>
      <c r="E65" s="603">
        <v>1259.3900000000001</v>
      </c>
      <c r="F65" s="602">
        <f t="shared" si="0"/>
        <v>755.63400000000001</v>
      </c>
      <c r="G65" s="601">
        <f t="shared" si="1"/>
        <v>0</v>
      </c>
      <c r="H65" s="39">
        <f t="shared" si="2"/>
        <v>63.851073000000007</v>
      </c>
      <c r="I65" s="599">
        <f t="shared" si="3"/>
        <v>0</v>
      </c>
      <c r="J65" s="600">
        <f t="shared" si="4"/>
        <v>24.180288000000001</v>
      </c>
      <c r="K65" s="599">
        <f t="shared" si="5"/>
        <v>0</v>
      </c>
      <c r="L65" s="39">
        <f t="shared" si="6"/>
        <v>19.873174200000001</v>
      </c>
      <c r="M65" s="599">
        <f t="shared" si="7"/>
        <v>0</v>
      </c>
      <c r="N65" s="600">
        <f t="shared" si="8"/>
        <v>16.548384599999999</v>
      </c>
      <c r="O65" s="599">
        <f t="shared" si="9"/>
        <v>0</v>
      </c>
      <c r="P65" s="598"/>
    </row>
    <row r="66" spans="1:16" ht="13.5" thickBot="1">
      <c r="A66" s="1086"/>
      <c r="B66" s="318"/>
      <c r="C66" s="604" t="s">
        <v>3856</v>
      </c>
      <c r="D66" s="605" t="s">
        <v>4039</v>
      </c>
      <c r="E66" s="603">
        <v>1399.56</v>
      </c>
      <c r="F66" s="602">
        <f t="shared" si="0"/>
        <v>839.73599999999999</v>
      </c>
      <c r="G66" s="601">
        <f t="shared" si="1"/>
        <v>0</v>
      </c>
      <c r="H66" s="39">
        <f t="shared" si="2"/>
        <v>70.957692000000009</v>
      </c>
      <c r="I66" s="599">
        <f t="shared" si="3"/>
        <v>0</v>
      </c>
      <c r="J66" s="600">
        <f t="shared" si="4"/>
        <v>26.871552000000001</v>
      </c>
      <c r="K66" s="599">
        <f t="shared" si="5"/>
        <v>0</v>
      </c>
      <c r="L66" s="39">
        <f t="shared" si="6"/>
        <v>22.0850568</v>
      </c>
      <c r="M66" s="599">
        <f t="shared" si="7"/>
        <v>0</v>
      </c>
      <c r="N66" s="600">
        <f t="shared" si="8"/>
        <v>18.390218399999998</v>
      </c>
      <c r="O66" s="599">
        <f t="shared" si="9"/>
        <v>0</v>
      </c>
      <c r="P66" s="598"/>
    </row>
    <row r="67" spans="1:16" ht="26.25" thickBot="1">
      <c r="A67" s="1086"/>
      <c r="B67" s="318"/>
      <c r="C67" s="604" t="s">
        <v>3858</v>
      </c>
      <c r="D67" s="605" t="s">
        <v>429</v>
      </c>
      <c r="E67" s="603">
        <v>2172.17</v>
      </c>
      <c r="F67" s="602">
        <f t="shared" si="0"/>
        <v>1303.3019999999999</v>
      </c>
      <c r="G67" s="601">
        <f t="shared" si="1"/>
        <v>0</v>
      </c>
      <c r="H67" s="39">
        <f t="shared" si="2"/>
        <v>110.129019</v>
      </c>
      <c r="I67" s="599">
        <f t="shared" si="3"/>
        <v>0</v>
      </c>
      <c r="J67" s="600">
        <f t="shared" si="4"/>
        <v>41.705663999999999</v>
      </c>
      <c r="K67" s="599">
        <f t="shared" si="5"/>
        <v>0</v>
      </c>
      <c r="L67" s="39">
        <f t="shared" si="6"/>
        <v>34.276842599999995</v>
      </c>
      <c r="M67" s="599">
        <f t="shared" si="7"/>
        <v>0</v>
      </c>
      <c r="N67" s="600">
        <f t="shared" si="8"/>
        <v>28.542313799999999</v>
      </c>
      <c r="O67" s="599">
        <f t="shared" si="9"/>
        <v>0</v>
      </c>
      <c r="P67" s="598"/>
    </row>
    <row r="68" spans="1:16" ht="26.25" thickBot="1">
      <c r="A68" s="1086"/>
      <c r="B68" s="319"/>
      <c r="C68" s="604" t="s">
        <v>3914</v>
      </c>
      <c r="D68" s="605" t="s">
        <v>4038</v>
      </c>
      <c r="E68" s="603">
        <v>4008.22</v>
      </c>
      <c r="F68" s="602">
        <f t="shared" si="0"/>
        <v>2404.9319999999998</v>
      </c>
      <c r="G68" s="601">
        <f t="shared" si="1"/>
        <v>0</v>
      </c>
      <c r="H68" s="39">
        <f t="shared" si="2"/>
        <v>203.21675400000001</v>
      </c>
      <c r="I68" s="599">
        <f t="shared" si="3"/>
        <v>0</v>
      </c>
      <c r="J68" s="600">
        <f t="shared" si="4"/>
        <v>76.957823999999988</v>
      </c>
      <c r="K68" s="599">
        <f t="shared" si="5"/>
        <v>0</v>
      </c>
      <c r="L68" s="39">
        <f t="shared" si="6"/>
        <v>63.249711599999998</v>
      </c>
      <c r="M68" s="599">
        <f t="shared" si="7"/>
        <v>0</v>
      </c>
      <c r="N68" s="600">
        <f t="shared" si="8"/>
        <v>52.66801079999999</v>
      </c>
      <c r="O68" s="599">
        <f t="shared" si="9"/>
        <v>0</v>
      </c>
      <c r="P68" s="598"/>
    </row>
    <row r="69" spans="1:16" ht="13.5" thickBot="1">
      <c r="A69" s="1086"/>
      <c r="B69" s="319"/>
      <c r="C69" s="604" t="s">
        <v>3861</v>
      </c>
      <c r="D69" s="605" t="s">
        <v>3919</v>
      </c>
      <c r="E69" s="603">
        <v>1828.63</v>
      </c>
      <c r="F69" s="602">
        <f t="shared" si="0"/>
        <v>1097.1780000000001</v>
      </c>
      <c r="G69" s="601">
        <f t="shared" si="1"/>
        <v>0</v>
      </c>
      <c r="H69" s="39">
        <f t="shared" si="2"/>
        <v>92.711541000000011</v>
      </c>
      <c r="I69" s="599">
        <f t="shared" si="3"/>
        <v>0</v>
      </c>
      <c r="J69" s="600">
        <f t="shared" si="4"/>
        <v>35.109696000000007</v>
      </c>
      <c r="K69" s="599">
        <f t="shared" si="5"/>
        <v>0</v>
      </c>
      <c r="L69" s="39">
        <f t="shared" si="6"/>
        <v>28.855781400000005</v>
      </c>
      <c r="M69" s="599">
        <f t="shared" si="7"/>
        <v>0</v>
      </c>
      <c r="N69" s="600">
        <f t="shared" si="8"/>
        <v>24.028198200000002</v>
      </c>
      <c r="O69" s="599">
        <f t="shared" si="9"/>
        <v>0</v>
      </c>
      <c r="P69" s="598"/>
    </row>
    <row r="70" spans="1:16" ht="13.5" thickBot="1">
      <c r="A70" s="1086"/>
      <c r="B70" s="319"/>
      <c r="C70" s="604" t="s">
        <v>123</v>
      </c>
      <c r="D70" s="605" t="s">
        <v>3923</v>
      </c>
      <c r="E70" s="603">
        <v>329.56</v>
      </c>
      <c r="F70" s="602">
        <f t="shared" si="0"/>
        <v>197.73599999999999</v>
      </c>
      <c r="G70" s="599">
        <f t="shared" si="1"/>
        <v>0</v>
      </c>
      <c r="H70" s="39">
        <f t="shared" si="2"/>
        <v>16.708691999999999</v>
      </c>
      <c r="I70" s="599">
        <f t="shared" si="3"/>
        <v>0</v>
      </c>
      <c r="J70" s="600">
        <f t="shared" si="4"/>
        <v>6.3275519999999998</v>
      </c>
      <c r="K70" s="599">
        <f t="shared" si="5"/>
        <v>0</v>
      </c>
      <c r="L70" s="39">
        <f t="shared" si="6"/>
        <v>5.2004567999999995</v>
      </c>
      <c r="M70" s="599">
        <f t="shared" si="7"/>
        <v>0</v>
      </c>
      <c r="N70" s="600">
        <f t="shared" si="8"/>
        <v>4.3304183999999992</v>
      </c>
      <c r="O70" s="599">
        <f t="shared" si="9"/>
        <v>0</v>
      </c>
      <c r="P70" s="598"/>
    </row>
    <row r="71" spans="1:16" ht="13.5" thickBot="1">
      <c r="A71" s="1086"/>
      <c r="B71" s="318"/>
      <c r="C71" s="297" t="s">
        <v>3862</v>
      </c>
      <c r="D71" s="607" t="s">
        <v>3929</v>
      </c>
      <c r="E71" s="603">
        <v>4449.0600000000004</v>
      </c>
      <c r="F71" s="602">
        <f t="shared" si="0"/>
        <v>2669.4360000000001</v>
      </c>
      <c r="G71" s="601">
        <f t="shared" si="1"/>
        <v>0</v>
      </c>
      <c r="H71" s="39">
        <f t="shared" si="2"/>
        <v>225.56734200000002</v>
      </c>
      <c r="I71" s="599">
        <f t="shared" si="3"/>
        <v>0</v>
      </c>
      <c r="J71" s="600">
        <f t="shared" si="4"/>
        <v>85.421952000000005</v>
      </c>
      <c r="K71" s="599">
        <f t="shared" si="5"/>
        <v>0</v>
      </c>
      <c r="L71" s="39">
        <f t="shared" si="6"/>
        <v>70.206166800000005</v>
      </c>
      <c r="M71" s="599">
        <f t="shared" si="7"/>
        <v>0</v>
      </c>
      <c r="N71" s="600">
        <f t="shared" si="8"/>
        <v>58.460648400000004</v>
      </c>
      <c r="O71" s="599">
        <f t="shared" si="9"/>
        <v>0</v>
      </c>
      <c r="P71" s="598"/>
    </row>
    <row r="72" spans="1:16" ht="13.5" thickBot="1">
      <c r="A72" s="1086"/>
      <c r="B72" s="319"/>
      <c r="C72" s="604" t="s">
        <v>3863</v>
      </c>
      <c r="D72" s="605" t="s">
        <v>3864</v>
      </c>
      <c r="E72" s="603">
        <v>352.03</v>
      </c>
      <c r="F72" s="602">
        <f t="shared" si="0"/>
        <v>211.21799999999999</v>
      </c>
      <c r="G72" s="601">
        <f t="shared" si="1"/>
        <v>0</v>
      </c>
      <c r="H72" s="39">
        <f t="shared" si="2"/>
        <v>17.847920999999999</v>
      </c>
      <c r="I72" s="599">
        <f t="shared" si="3"/>
        <v>0</v>
      </c>
      <c r="J72" s="600">
        <f t="shared" si="4"/>
        <v>6.7589759999999997</v>
      </c>
      <c r="K72" s="599">
        <f t="shared" si="5"/>
        <v>0</v>
      </c>
      <c r="L72" s="39">
        <f t="shared" si="6"/>
        <v>5.5550334000000001</v>
      </c>
      <c r="M72" s="599">
        <f t="shared" si="7"/>
        <v>0</v>
      </c>
      <c r="N72" s="600">
        <f t="shared" si="8"/>
        <v>4.6256741999999997</v>
      </c>
      <c r="O72" s="599">
        <f t="shared" si="9"/>
        <v>0</v>
      </c>
      <c r="P72" s="598"/>
    </row>
    <row r="73" spans="1:16" ht="13.5" thickBot="1">
      <c r="A73" s="1086"/>
      <c r="B73" s="318"/>
      <c r="C73" s="297" t="s">
        <v>214</v>
      </c>
      <c r="D73" s="605" t="s">
        <v>246</v>
      </c>
      <c r="E73" s="603">
        <v>588.5</v>
      </c>
      <c r="F73" s="602">
        <f>E73*(1-40%)</f>
        <v>353.09999999999997</v>
      </c>
      <c r="G73" s="601">
        <f>F73*B73</f>
        <v>0</v>
      </c>
      <c r="H73" s="39">
        <f>F73*0.0845</f>
        <v>29.836949999999998</v>
      </c>
      <c r="I73" s="599">
        <f>H73*B73</f>
        <v>0</v>
      </c>
      <c r="J73" s="600">
        <f>F73*0.032</f>
        <v>11.299199999999999</v>
      </c>
      <c r="K73" s="599">
        <f>J73*B73</f>
        <v>0</v>
      </c>
      <c r="L73" s="39">
        <f>F73*0.0263</f>
        <v>9.2865299999999991</v>
      </c>
      <c r="M73" s="599">
        <f>L73*B73</f>
        <v>0</v>
      </c>
      <c r="N73" s="600">
        <f>F73*0.0219</f>
        <v>7.7328899999999994</v>
      </c>
      <c r="O73" s="599">
        <f>N73*B73</f>
        <v>0</v>
      </c>
      <c r="P73" s="598"/>
    </row>
    <row r="74" spans="1:16" ht="13.5" thickBot="1">
      <c r="A74" s="1086"/>
      <c r="B74" s="318"/>
      <c r="C74" s="297" t="s">
        <v>3865</v>
      </c>
      <c r="D74" s="605" t="s">
        <v>3866</v>
      </c>
      <c r="E74" s="603">
        <v>145.52000000000001</v>
      </c>
      <c r="F74" s="602">
        <f t="shared" si="0"/>
        <v>87.311999999999998</v>
      </c>
      <c r="G74" s="601">
        <f t="shared" si="1"/>
        <v>0</v>
      </c>
      <c r="H74" s="39">
        <f t="shared" si="2"/>
        <v>7.3778640000000006</v>
      </c>
      <c r="I74" s="599">
        <f t="shared" si="3"/>
        <v>0</v>
      </c>
      <c r="J74" s="600">
        <f t="shared" si="4"/>
        <v>2.793984</v>
      </c>
      <c r="K74" s="599">
        <f t="shared" si="5"/>
        <v>0</v>
      </c>
      <c r="L74" s="39">
        <f t="shared" si="6"/>
        <v>2.2963056000000002</v>
      </c>
      <c r="M74" s="599">
        <f t="shared" si="7"/>
        <v>0</v>
      </c>
      <c r="N74" s="600">
        <f t="shared" si="8"/>
        <v>1.9121328</v>
      </c>
      <c r="O74" s="599">
        <f t="shared" si="9"/>
        <v>0</v>
      </c>
      <c r="P74" s="598"/>
    </row>
    <row r="75" spans="1:16" ht="13.5" thickBot="1">
      <c r="A75" s="1086"/>
      <c r="B75" s="318"/>
      <c r="C75" s="604" t="s">
        <v>3930</v>
      </c>
      <c r="D75" s="562" t="s">
        <v>3931</v>
      </c>
      <c r="E75" s="603">
        <v>1470</v>
      </c>
      <c r="F75" s="602">
        <f t="shared" si="0"/>
        <v>882</v>
      </c>
      <c r="G75" s="601">
        <f t="shared" si="1"/>
        <v>0</v>
      </c>
      <c r="H75" s="39">
        <f t="shared" si="2"/>
        <v>74.529000000000011</v>
      </c>
      <c r="I75" s="599">
        <f t="shared" si="3"/>
        <v>0</v>
      </c>
      <c r="J75" s="600">
        <f t="shared" si="4"/>
        <v>28.224</v>
      </c>
      <c r="K75" s="599">
        <f t="shared" si="5"/>
        <v>0</v>
      </c>
      <c r="L75" s="39">
        <f t="shared" si="6"/>
        <v>23.1966</v>
      </c>
      <c r="M75" s="599">
        <f t="shared" si="7"/>
        <v>0</v>
      </c>
      <c r="N75" s="600">
        <f t="shared" si="8"/>
        <v>19.315799999999999</v>
      </c>
      <c r="O75" s="599">
        <f t="shared" si="9"/>
        <v>0</v>
      </c>
      <c r="P75" s="598"/>
    </row>
    <row r="76" spans="1:16" ht="13.5" thickBot="1">
      <c r="A76" s="1086"/>
      <c r="B76" s="318"/>
      <c r="C76" s="297" t="s">
        <v>127</v>
      </c>
      <c r="D76" s="298" t="s">
        <v>3947</v>
      </c>
      <c r="E76" s="603">
        <v>148.72999999999999</v>
      </c>
      <c r="F76" s="602">
        <f t="shared" si="0"/>
        <v>89.237999999999985</v>
      </c>
      <c r="G76" s="601">
        <f t="shared" si="1"/>
        <v>0</v>
      </c>
      <c r="H76" s="39">
        <f t="shared" si="2"/>
        <v>7.5406109999999993</v>
      </c>
      <c r="I76" s="599">
        <f t="shared" si="3"/>
        <v>0</v>
      </c>
      <c r="J76" s="600">
        <f t="shared" si="4"/>
        <v>2.8556159999999995</v>
      </c>
      <c r="K76" s="599">
        <f t="shared" si="5"/>
        <v>0</v>
      </c>
      <c r="L76" s="39">
        <f t="shared" si="6"/>
        <v>2.3469593999999998</v>
      </c>
      <c r="M76" s="599">
        <f t="shared" si="7"/>
        <v>0</v>
      </c>
      <c r="N76" s="600">
        <f t="shared" si="8"/>
        <v>1.9543121999999997</v>
      </c>
      <c r="O76" s="599">
        <f t="shared" si="9"/>
        <v>0</v>
      </c>
      <c r="P76" s="598"/>
    </row>
    <row r="77" spans="1:16" ht="13.5" thickBot="1">
      <c r="A77" s="1086"/>
      <c r="B77" s="318"/>
      <c r="C77" s="604" t="s">
        <v>129</v>
      </c>
      <c r="D77" s="607" t="s">
        <v>171</v>
      </c>
      <c r="E77" s="603">
        <v>785</v>
      </c>
      <c r="F77" s="602">
        <f t="shared" si="0"/>
        <v>471</v>
      </c>
      <c r="G77" s="601">
        <f t="shared" si="1"/>
        <v>0</v>
      </c>
      <c r="H77" s="39">
        <f t="shared" si="2"/>
        <v>39.799500000000002</v>
      </c>
      <c r="I77" s="599">
        <f t="shared" si="3"/>
        <v>0</v>
      </c>
      <c r="J77" s="600">
        <f t="shared" si="4"/>
        <v>15.072000000000001</v>
      </c>
      <c r="K77" s="599">
        <f t="shared" si="5"/>
        <v>0</v>
      </c>
      <c r="L77" s="39">
        <f t="shared" si="6"/>
        <v>12.3873</v>
      </c>
      <c r="M77" s="599">
        <f t="shared" si="7"/>
        <v>0</v>
      </c>
      <c r="N77" s="600">
        <f t="shared" si="8"/>
        <v>10.3149</v>
      </c>
      <c r="O77" s="599">
        <f t="shared" si="9"/>
        <v>0</v>
      </c>
      <c r="P77" s="598"/>
    </row>
    <row r="78" spans="1:16" ht="13.5" thickBot="1">
      <c r="A78" s="1086"/>
      <c r="B78" s="323"/>
      <c r="C78" s="604" t="s">
        <v>131</v>
      </c>
      <c r="D78" s="605" t="s">
        <v>4040</v>
      </c>
      <c r="E78" s="603">
        <v>821</v>
      </c>
      <c r="F78" s="602">
        <f t="shared" ref="F78:F101" si="10">E78*(1-40%)</f>
        <v>492.59999999999997</v>
      </c>
      <c r="G78" s="601">
        <f t="shared" ref="G78:G101" si="11">F78*B78</f>
        <v>0</v>
      </c>
      <c r="H78" s="39">
        <f t="shared" ref="H78:H101" si="12">F78*0.0845</f>
        <v>41.624699999999997</v>
      </c>
      <c r="I78" s="599">
        <f t="shared" ref="I78:I101" si="13">H78*B78</f>
        <v>0</v>
      </c>
      <c r="J78" s="600">
        <f t="shared" ref="J78:J101" si="14">F78*0.032</f>
        <v>15.763199999999999</v>
      </c>
      <c r="K78" s="599">
        <f t="shared" ref="K78:K101" si="15">J78*B78</f>
        <v>0</v>
      </c>
      <c r="L78" s="39">
        <f t="shared" ref="L78:L101" si="16">F78*0.0263</f>
        <v>12.95538</v>
      </c>
      <c r="M78" s="599">
        <f t="shared" ref="M78:M101" si="17">L78*B78</f>
        <v>0</v>
      </c>
      <c r="N78" s="600">
        <f t="shared" ref="N78:N101" si="18">F78*0.0219</f>
        <v>10.787939999999999</v>
      </c>
      <c r="O78" s="599">
        <f t="shared" ref="O78:O101" si="19">N78*B78</f>
        <v>0</v>
      </c>
      <c r="P78" s="598"/>
    </row>
    <row r="79" spans="1:16" ht="13.5" thickBot="1">
      <c r="A79" s="1086"/>
      <c r="B79" s="318"/>
      <c r="C79" s="604" t="s">
        <v>133</v>
      </c>
      <c r="D79" s="605" t="s">
        <v>134</v>
      </c>
      <c r="E79" s="603">
        <v>690</v>
      </c>
      <c r="F79" s="602">
        <f t="shared" si="10"/>
        <v>414</v>
      </c>
      <c r="G79" s="601">
        <f t="shared" si="11"/>
        <v>0</v>
      </c>
      <c r="H79" s="39">
        <f t="shared" si="12"/>
        <v>34.983000000000004</v>
      </c>
      <c r="I79" s="599">
        <f t="shared" si="13"/>
        <v>0</v>
      </c>
      <c r="J79" s="600">
        <f t="shared" si="14"/>
        <v>13.248000000000001</v>
      </c>
      <c r="K79" s="599">
        <f t="shared" si="15"/>
        <v>0</v>
      </c>
      <c r="L79" s="39">
        <f t="shared" si="16"/>
        <v>10.888199999999999</v>
      </c>
      <c r="M79" s="599">
        <f t="shared" si="17"/>
        <v>0</v>
      </c>
      <c r="N79" s="600">
        <f t="shared" si="18"/>
        <v>9.0665999999999993</v>
      </c>
      <c r="O79" s="599">
        <f t="shared" si="19"/>
        <v>0</v>
      </c>
      <c r="P79" s="598"/>
    </row>
    <row r="80" spans="1:16" ht="13.5" thickBot="1">
      <c r="A80" s="1086"/>
      <c r="B80" s="318"/>
      <c r="C80" s="604" t="s">
        <v>135</v>
      </c>
      <c r="D80" s="605" t="s">
        <v>136</v>
      </c>
      <c r="E80" s="603">
        <v>191</v>
      </c>
      <c r="F80" s="602">
        <f t="shared" si="10"/>
        <v>114.6</v>
      </c>
      <c r="G80" s="601">
        <f t="shared" si="11"/>
        <v>0</v>
      </c>
      <c r="H80" s="39">
        <f t="shared" si="12"/>
        <v>9.6837</v>
      </c>
      <c r="I80" s="599">
        <f t="shared" si="13"/>
        <v>0</v>
      </c>
      <c r="J80" s="600">
        <f t="shared" si="14"/>
        <v>3.6671999999999998</v>
      </c>
      <c r="K80" s="599">
        <f t="shared" si="15"/>
        <v>0</v>
      </c>
      <c r="L80" s="39">
        <f t="shared" si="16"/>
        <v>3.0139800000000001</v>
      </c>
      <c r="M80" s="599">
        <f t="shared" si="17"/>
        <v>0</v>
      </c>
      <c r="N80" s="600">
        <f t="shared" si="18"/>
        <v>2.5097399999999999</v>
      </c>
      <c r="O80" s="599">
        <f t="shared" si="19"/>
        <v>0</v>
      </c>
      <c r="P80" s="598"/>
    </row>
    <row r="81" spans="1:16" ht="13.5" thickBot="1">
      <c r="A81" s="1086"/>
      <c r="B81" s="319"/>
      <c r="C81" s="604" t="s">
        <v>137</v>
      </c>
      <c r="D81" s="605" t="s">
        <v>4041</v>
      </c>
      <c r="E81" s="603">
        <v>667.8</v>
      </c>
      <c r="F81" s="602">
        <f t="shared" si="10"/>
        <v>400.67999999999995</v>
      </c>
      <c r="G81" s="601">
        <f t="shared" si="11"/>
        <v>0</v>
      </c>
      <c r="H81" s="39">
        <f t="shared" si="12"/>
        <v>33.857459999999996</v>
      </c>
      <c r="I81" s="599">
        <f t="shared" si="13"/>
        <v>0</v>
      </c>
      <c r="J81" s="600">
        <f t="shared" si="14"/>
        <v>12.821759999999999</v>
      </c>
      <c r="K81" s="599">
        <f t="shared" si="15"/>
        <v>0</v>
      </c>
      <c r="L81" s="39">
        <f t="shared" si="16"/>
        <v>10.537883999999998</v>
      </c>
      <c r="M81" s="599">
        <f t="shared" si="17"/>
        <v>0</v>
      </c>
      <c r="N81" s="600">
        <f t="shared" si="18"/>
        <v>8.7748919999999995</v>
      </c>
      <c r="O81" s="599">
        <f t="shared" si="19"/>
        <v>0</v>
      </c>
      <c r="P81" s="598"/>
    </row>
    <row r="82" spans="1:16" ht="13.5" thickBot="1">
      <c r="A82" s="1086"/>
      <c r="B82" s="318"/>
      <c r="C82" s="604" t="s">
        <v>139</v>
      </c>
      <c r="D82" s="605" t="s">
        <v>140</v>
      </c>
      <c r="E82" s="603">
        <v>250</v>
      </c>
      <c r="F82" s="602">
        <f t="shared" si="10"/>
        <v>150</v>
      </c>
      <c r="G82" s="601">
        <f t="shared" si="11"/>
        <v>0</v>
      </c>
      <c r="H82" s="39">
        <f t="shared" si="12"/>
        <v>12.675000000000001</v>
      </c>
      <c r="I82" s="599">
        <f t="shared" si="13"/>
        <v>0</v>
      </c>
      <c r="J82" s="600">
        <f t="shared" si="14"/>
        <v>4.8</v>
      </c>
      <c r="K82" s="599">
        <f t="shared" si="15"/>
        <v>0</v>
      </c>
      <c r="L82" s="39">
        <f t="shared" si="16"/>
        <v>3.9450000000000003</v>
      </c>
      <c r="M82" s="599">
        <f t="shared" si="17"/>
        <v>0</v>
      </c>
      <c r="N82" s="600">
        <f t="shared" si="18"/>
        <v>3.2849999999999997</v>
      </c>
      <c r="O82" s="599">
        <f t="shared" si="19"/>
        <v>0</v>
      </c>
      <c r="P82" s="598"/>
    </row>
    <row r="83" spans="1:16" ht="13.5" thickBot="1">
      <c r="A83" s="1086"/>
      <c r="B83" s="318"/>
      <c r="C83" s="604" t="s">
        <v>141</v>
      </c>
      <c r="D83" s="605" t="s">
        <v>4042</v>
      </c>
      <c r="E83" s="603">
        <v>250</v>
      </c>
      <c r="F83" s="602">
        <f t="shared" si="10"/>
        <v>150</v>
      </c>
      <c r="G83" s="601">
        <f t="shared" si="11"/>
        <v>0</v>
      </c>
      <c r="H83" s="39">
        <f t="shared" si="12"/>
        <v>12.675000000000001</v>
      </c>
      <c r="I83" s="599">
        <f t="shared" si="13"/>
        <v>0</v>
      </c>
      <c r="J83" s="600">
        <f t="shared" si="14"/>
        <v>4.8</v>
      </c>
      <c r="K83" s="599">
        <f t="shared" si="15"/>
        <v>0</v>
      </c>
      <c r="L83" s="39">
        <f t="shared" si="16"/>
        <v>3.9450000000000003</v>
      </c>
      <c r="M83" s="599">
        <f t="shared" si="17"/>
        <v>0</v>
      </c>
      <c r="N83" s="600">
        <f t="shared" si="18"/>
        <v>3.2849999999999997</v>
      </c>
      <c r="O83" s="599">
        <f t="shared" si="19"/>
        <v>0</v>
      </c>
      <c r="P83" s="598"/>
    </row>
    <row r="84" spans="1:16" ht="26.25" thickBot="1">
      <c r="A84" s="1086"/>
      <c r="B84" s="318"/>
      <c r="C84" s="604" t="s">
        <v>251</v>
      </c>
      <c r="D84" s="605" t="s">
        <v>3868</v>
      </c>
      <c r="E84" s="603">
        <v>1959</v>
      </c>
      <c r="F84" s="602">
        <f t="shared" si="10"/>
        <v>1175.3999999999999</v>
      </c>
      <c r="G84" s="601">
        <f t="shared" si="11"/>
        <v>0</v>
      </c>
      <c r="H84" s="39">
        <f t="shared" si="12"/>
        <v>99.321299999999994</v>
      </c>
      <c r="I84" s="599">
        <f t="shared" si="13"/>
        <v>0</v>
      </c>
      <c r="J84" s="600">
        <f t="shared" si="14"/>
        <v>37.612799999999993</v>
      </c>
      <c r="K84" s="599">
        <f t="shared" si="15"/>
        <v>0</v>
      </c>
      <c r="L84" s="39">
        <f t="shared" si="16"/>
        <v>30.913019999999996</v>
      </c>
      <c r="M84" s="599">
        <f t="shared" si="17"/>
        <v>0</v>
      </c>
      <c r="N84" s="600">
        <f t="shared" si="18"/>
        <v>25.741259999999997</v>
      </c>
      <c r="O84" s="599">
        <f t="shared" si="19"/>
        <v>0</v>
      </c>
      <c r="P84" s="598"/>
    </row>
    <row r="85" spans="1:16" ht="13.5" thickBot="1">
      <c r="A85" s="1086"/>
      <c r="B85" s="318"/>
      <c r="C85" s="604" t="s">
        <v>252</v>
      </c>
      <c r="D85" s="607" t="s">
        <v>3869</v>
      </c>
      <c r="E85" s="603">
        <v>996.17</v>
      </c>
      <c r="F85" s="602">
        <f t="shared" si="10"/>
        <v>597.702</v>
      </c>
      <c r="G85" s="601">
        <f t="shared" si="11"/>
        <v>0</v>
      </c>
      <c r="H85" s="39">
        <f t="shared" si="12"/>
        <v>50.505819000000002</v>
      </c>
      <c r="I85" s="599">
        <f t="shared" si="13"/>
        <v>0</v>
      </c>
      <c r="J85" s="600">
        <f t="shared" si="14"/>
        <v>19.126463999999999</v>
      </c>
      <c r="K85" s="599">
        <f t="shared" si="15"/>
        <v>0</v>
      </c>
      <c r="L85" s="39">
        <f t="shared" si="16"/>
        <v>15.7195626</v>
      </c>
      <c r="M85" s="599">
        <f t="shared" si="17"/>
        <v>0</v>
      </c>
      <c r="N85" s="600">
        <f t="shared" si="18"/>
        <v>13.0896738</v>
      </c>
      <c r="O85" s="599">
        <f t="shared" si="19"/>
        <v>0</v>
      </c>
      <c r="P85" s="598"/>
    </row>
    <row r="86" spans="1:16" ht="13.5" thickBot="1">
      <c r="A86" s="1086"/>
      <c r="B86" s="319"/>
      <c r="C86" s="604" t="s">
        <v>218</v>
      </c>
      <c r="D86" s="298" t="s">
        <v>253</v>
      </c>
      <c r="E86" s="603">
        <v>70.62</v>
      </c>
      <c r="F86" s="602">
        <f t="shared" si="10"/>
        <v>42.372</v>
      </c>
      <c r="G86" s="601">
        <f t="shared" si="11"/>
        <v>0</v>
      </c>
      <c r="H86" s="39">
        <f t="shared" si="12"/>
        <v>3.5804340000000003</v>
      </c>
      <c r="I86" s="599">
        <f t="shared" si="13"/>
        <v>0</v>
      </c>
      <c r="J86" s="600">
        <f t="shared" si="14"/>
        <v>1.355904</v>
      </c>
      <c r="K86" s="599">
        <f t="shared" si="15"/>
        <v>0</v>
      </c>
      <c r="L86" s="39">
        <f t="shared" si="16"/>
        <v>1.1143836</v>
      </c>
      <c r="M86" s="599">
        <f t="shared" si="17"/>
        <v>0</v>
      </c>
      <c r="N86" s="600">
        <f t="shared" si="18"/>
        <v>0.92794679999999996</v>
      </c>
      <c r="O86" s="599">
        <f t="shared" si="19"/>
        <v>0</v>
      </c>
      <c r="P86" s="598"/>
    </row>
    <row r="87" spans="1:16" ht="13.5" thickBot="1">
      <c r="A87" s="1086"/>
      <c r="B87" s="318"/>
      <c r="C87" s="604" t="s">
        <v>3870</v>
      </c>
      <c r="D87" s="298" t="s">
        <v>433</v>
      </c>
      <c r="E87" s="603">
        <v>131.61000000000001</v>
      </c>
      <c r="F87" s="602">
        <f t="shared" si="10"/>
        <v>78.966000000000008</v>
      </c>
      <c r="G87" s="601">
        <f t="shared" si="11"/>
        <v>0</v>
      </c>
      <c r="H87" s="39">
        <f t="shared" si="12"/>
        <v>6.6726270000000012</v>
      </c>
      <c r="I87" s="599">
        <f t="shared" si="13"/>
        <v>0</v>
      </c>
      <c r="J87" s="600">
        <f t="shared" si="14"/>
        <v>2.5269120000000003</v>
      </c>
      <c r="K87" s="599">
        <f t="shared" si="15"/>
        <v>0</v>
      </c>
      <c r="L87" s="39">
        <f t="shared" si="16"/>
        <v>2.0768058000000003</v>
      </c>
      <c r="M87" s="599">
        <f t="shared" si="17"/>
        <v>0</v>
      </c>
      <c r="N87" s="600">
        <f t="shared" si="18"/>
        <v>1.7293554000000002</v>
      </c>
      <c r="O87" s="599">
        <f t="shared" si="19"/>
        <v>0</v>
      </c>
      <c r="P87" s="598"/>
    </row>
    <row r="88" spans="1:16" ht="13.5" thickBot="1">
      <c r="A88" s="1086"/>
      <c r="B88" s="318"/>
      <c r="C88" s="604" t="s">
        <v>3871</v>
      </c>
      <c r="D88" s="298" t="s">
        <v>385</v>
      </c>
      <c r="E88" s="603">
        <v>1075.3499999999999</v>
      </c>
      <c r="F88" s="602">
        <f t="shared" si="10"/>
        <v>645.20999999999992</v>
      </c>
      <c r="G88" s="601">
        <f t="shared" si="11"/>
        <v>0</v>
      </c>
      <c r="H88" s="39">
        <f t="shared" si="12"/>
        <v>54.520244999999996</v>
      </c>
      <c r="I88" s="599">
        <f t="shared" si="13"/>
        <v>0</v>
      </c>
      <c r="J88" s="600">
        <f t="shared" si="14"/>
        <v>20.646719999999998</v>
      </c>
      <c r="K88" s="599">
        <f t="shared" si="15"/>
        <v>0</v>
      </c>
      <c r="L88" s="39">
        <f t="shared" si="16"/>
        <v>16.969023</v>
      </c>
      <c r="M88" s="599">
        <f t="shared" si="17"/>
        <v>0</v>
      </c>
      <c r="N88" s="600">
        <f t="shared" si="18"/>
        <v>14.130098999999998</v>
      </c>
      <c r="O88" s="599">
        <f t="shared" si="19"/>
        <v>0</v>
      </c>
      <c r="P88" s="598"/>
    </row>
    <row r="89" spans="1:16" ht="13.5" thickBot="1">
      <c r="A89" s="1086"/>
      <c r="B89" s="318"/>
      <c r="C89" s="604" t="s">
        <v>3872</v>
      </c>
      <c r="D89" s="298" t="s">
        <v>386</v>
      </c>
      <c r="E89" s="603">
        <v>1402.77</v>
      </c>
      <c r="F89" s="602">
        <f t="shared" si="10"/>
        <v>841.66199999999992</v>
      </c>
      <c r="G89" s="601">
        <f t="shared" si="11"/>
        <v>0</v>
      </c>
      <c r="H89" s="39">
        <f t="shared" si="12"/>
        <v>71.120439000000005</v>
      </c>
      <c r="I89" s="599">
        <f t="shared" si="13"/>
        <v>0</v>
      </c>
      <c r="J89" s="600">
        <f t="shared" si="14"/>
        <v>26.933183999999997</v>
      </c>
      <c r="K89" s="599">
        <f t="shared" si="15"/>
        <v>0</v>
      </c>
      <c r="L89" s="39">
        <f t="shared" si="16"/>
        <v>22.135710599999999</v>
      </c>
      <c r="M89" s="599">
        <f t="shared" si="17"/>
        <v>0</v>
      </c>
      <c r="N89" s="600">
        <f t="shared" si="18"/>
        <v>18.432397799999997</v>
      </c>
      <c r="O89" s="599">
        <f t="shared" si="19"/>
        <v>0</v>
      </c>
      <c r="P89" s="598"/>
    </row>
    <row r="90" spans="1:16" ht="13.5" thickBot="1">
      <c r="A90" s="1086"/>
      <c r="B90" s="323"/>
      <c r="C90" s="604" t="s">
        <v>3873</v>
      </c>
      <c r="D90" s="298" t="s">
        <v>387</v>
      </c>
      <c r="E90" s="603">
        <v>1651.01</v>
      </c>
      <c r="F90" s="602">
        <f t="shared" si="10"/>
        <v>990.60599999999999</v>
      </c>
      <c r="G90" s="601">
        <f t="shared" si="11"/>
        <v>0</v>
      </c>
      <c r="H90" s="39">
        <f t="shared" si="12"/>
        <v>83.706207000000006</v>
      </c>
      <c r="I90" s="599">
        <f t="shared" si="13"/>
        <v>0</v>
      </c>
      <c r="J90" s="600">
        <f t="shared" si="14"/>
        <v>31.699392</v>
      </c>
      <c r="K90" s="599">
        <f t="shared" si="15"/>
        <v>0</v>
      </c>
      <c r="L90" s="39">
        <f t="shared" si="16"/>
        <v>26.052937799999999</v>
      </c>
      <c r="M90" s="599">
        <f t="shared" si="17"/>
        <v>0</v>
      </c>
      <c r="N90" s="600">
        <f t="shared" si="18"/>
        <v>21.694271399999998</v>
      </c>
      <c r="O90" s="599">
        <f t="shared" si="19"/>
        <v>0</v>
      </c>
      <c r="P90" s="598"/>
    </row>
    <row r="91" spans="1:16" ht="13.5" thickBot="1">
      <c r="A91" s="1086"/>
      <c r="B91" s="319"/>
      <c r="C91" s="604" t="s">
        <v>254</v>
      </c>
      <c r="D91" s="605" t="s">
        <v>3874</v>
      </c>
      <c r="E91" s="603">
        <v>1964.52</v>
      </c>
      <c r="F91" s="602">
        <f t="shared" si="10"/>
        <v>1178.712</v>
      </c>
      <c r="G91" s="601">
        <f t="shared" si="11"/>
        <v>0</v>
      </c>
      <c r="H91" s="39">
        <f t="shared" si="12"/>
        <v>99.601164000000011</v>
      </c>
      <c r="I91" s="599">
        <f t="shared" si="13"/>
        <v>0</v>
      </c>
      <c r="J91" s="600">
        <f t="shared" si="14"/>
        <v>37.718783999999999</v>
      </c>
      <c r="K91" s="599">
        <f t="shared" si="15"/>
        <v>0</v>
      </c>
      <c r="L91" s="39">
        <f t="shared" si="16"/>
        <v>31.000125600000001</v>
      </c>
      <c r="M91" s="599">
        <f t="shared" si="17"/>
        <v>0</v>
      </c>
      <c r="N91" s="600">
        <f t="shared" si="18"/>
        <v>25.813792799999998</v>
      </c>
      <c r="O91" s="599">
        <f t="shared" si="19"/>
        <v>0</v>
      </c>
      <c r="P91" s="598"/>
    </row>
    <row r="92" spans="1:16" ht="13.5" thickBot="1">
      <c r="A92" s="1086"/>
      <c r="B92" s="318"/>
      <c r="C92" s="604" t="s">
        <v>256</v>
      </c>
      <c r="D92" s="605" t="s">
        <v>3875</v>
      </c>
      <c r="E92" s="603">
        <v>690.15</v>
      </c>
      <c r="F92" s="602">
        <f t="shared" si="10"/>
        <v>414.09</v>
      </c>
      <c r="G92" s="601">
        <f t="shared" si="11"/>
        <v>0</v>
      </c>
      <c r="H92" s="39">
        <f t="shared" si="12"/>
        <v>34.990605000000002</v>
      </c>
      <c r="I92" s="599">
        <f t="shared" si="13"/>
        <v>0</v>
      </c>
      <c r="J92" s="600">
        <f t="shared" si="14"/>
        <v>13.250879999999999</v>
      </c>
      <c r="K92" s="599">
        <f t="shared" si="15"/>
        <v>0</v>
      </c>
      <c r="L92" s="39">
        <f t="shared" si="16"/>
        <v>10.890566999999999</v>
      </c>
      <c r="M92" s="599">
        <f t="shared" si="17"/>
        <v>0</v>
      </c>
      <c r="N92" s="600">
        <f t="shared" si="18"/>
        <v>9.0685709999999986</v>
      </c>
      <c r="O92" s="599">
        <f t="shared" si="19"/>
        <v>0</v>
      </c>
      <c r="P92" s="598"/>
    </row>
    <row r="93" spans="1:16" ht="13.5" thickBot="1">
      <c r="A93" s="1086"/>
      <c r="B93" s="319"/>
      <c r="C93" s="604" t="s">
        <v>3876</v>
      </c>
      <c r="D93" s="605" t="s">
        <v>4043</v>
      </c>
      <c r="E93" s="603">
        <v>690.15</v>
      </c>
      <c r="F93" s="602">
        <f t="shared" si="10"/>
        <v>414.09</v>
      </c>
      <c r="G93" s="601">
        <f t="shared" si="11"/>
        <v>0</v>
      </c>
      <c r="H93" s="39">
        <f t="shared" si="12"/>
        <v>34.990605000000002</v>
      </c>
      <c r="I93" s="599">
        <f t="shared" si="13"/>
        <v>0</v>
      </c>
      <c r="J93" s="600">
        <f t="shared" si="14"/>
        <v>13.250879999999999</v>
      </c>
      <c r="K93" s="599">
        <f t="shared" si="15"/>
        <v>0</v>
      </c>
      <c r="L93" s="39">
        <f t="shared" si="16"/>
        <v>10.890566999999999</v>
      </c>
      <c r="M93" s="599">
        <f t="shared" si="17"/>
        <v>0</v>
      </c>
      <c r="N93" s="600">
        <f t="shared" si="18"/>
        <v>9.0685709999999986</v>
      </c>
      <c r="O93" s="599">
        <f t="shared" si="19"/>
        <v>0</v>
      </c>
      <c r="P93" s="598"/>
    </row>
    <row r="94" spans="1:16" s="519" customFormat="1" ht="13.5" thickBot="1">
      <c r="A94" s="1086"/>
      <c r="B94" s="319"/>
      <c r="C94" s="297" t="s">
        <v>257</v>
      </c>
      <c r="D94" s="298" t="s">
        <v>3878</v>
      </c>
      <c r="E94" s="606">
        <v>1348</v>
      </c>
      <c r="F94" s="38">
        <f t="shared" si="10"/>
        <v>808.8</v>
      </c>
      <c r="G94" s="396">
        <f t="shared" si="11"/>
        <v>0</v>
      </c>
      <c r="H94" s="397">
        <f t="shared" si="12"/>
        <v>68.343599999999995</v>
      </c>
      <c r="I94" s="397">
        <f t="shared" si="13"/>
        <v>0</v>
      </c>
      <c r="J94" s="397">
        <f t="shared" si="14"/>
        <v>25.881599999999999</v>
      </c>
      <c r="K94" s="397">
        <f t="shared" si="15"/>
        <v>0</v>
      </c>
      <c r="L94" s="397">
        <f t="shared" si="16"/>
        <v>21.271439999999998</v>
      </c>
      <c r="M94" s="397">
        <f t="shared" si="17"/>
        <v>0</v>
      </c>
      <c r="N94" s="397">
        <f t="shared" si="18"/>
        <v>17.712719999999997</v>
      </c>
      <c r="O94" s="397">
        <f t="shared" si="19"/>
        <v>0</v>
      </c>
      <c r="P94" s="598"/>
    </row>
    <row r="95" spans="1:16" ht="13.5" thickBot="1">
      <c r="A95" s="1086"/>
      <c r="B95" s="318"/>
      <c r="C95" s="604" t="s">
        <v>258</v>
      </c>
      <c r="D95" s="298" t="s">
        <v>223</v>
      </c>
      <c r="E95" s="603">
        <v>56.71</v>
      </c>
      <c r="F95" s="602">
        <f t="shared" si="10"/>
        <v>34.025999999999996</v>
      </c>
      <c r="G95" s="601">
        <f t="shared" si="11"/>
        <v>0</v>
      </c>
      <c r="H95" s="39">
        <f t="shared" si="12"/>
        <v>2.875197</v>
      </c>
      <c r="I95" s="599">
        <f t="shared" si="13"/>
        <v>0</v>
      </c>
      <c r="J95" s="600">
        <f t="shared" si="14"/>
        <v>1.0888319999999998</v>
      </c>
      <c r="K95" s="599">
        <f t="shared" si="15"/>
        <v>0</v>
      </c>
      <c r="L95" s="39">
        <f t="shared" si="16"/>
        <v>0.8948837999999999</v>
      </c>
      <c r="M95" s="599">
        <f t="shared" si="17"/>
        <v>0</v>
      </c>
      <c r="N95" s="600">
        <f t="shared" si="18"/>
        <v>0.74516939999999987</v>
      </c>
      <c r="O95" s="599">
        <f t="shared" si="19"/>
        <v>0</v>
      </c>
      <c r="P95" s="598"/>
    </row>
    <row r="96" spans="1:16" ht="13.5" thickBot="1">
      <c r="A96" s="1086"/>
      <c r="B96" s="319"/>
      <c r="C96" s="604" t="s">
        <v>259</v>
      </c>
      <c r="D96" s="298" t="s">
        <v>436</v>
      </c>
      <c r="E96" s="603">
        <v>32.1</v>
      </c>
      <c r="F96" s="602">
        <f t="shared" si="10"/>
        <v>19.260000000000002</v>
      </c>
      <c r="G96" s="601">
        <f t="shared" si="11"/>
        <v>0</v>
      </c>
      <c r="H96" s="39">
        <f t="shared" si="12"/>
        <v>1.6274700000000002</v>
      </c>
      <c r="I96" s="599">
        <f t="shared" si="13"/>
        <v>0</v>
      </c>
      <c r="J96" s="600">
        <f t="shared" si="14"/>
        <v>0.61632000000000009</v>
      </c>
      <c r="K96" s="599">
        <f t="shared" si="15"/>
        <v>0</v>
      </c>
      <c r="L96" s="39">
        <f t="shared" si="16"/>
        <v>0.50653800000000004</v>
      </c>
      <c r="M96" s="599">
        <f t="shared" si="17"/>
        <v>0</v>
      </c>
      <c r="N96" s="600">
        <f t="shared" si="18"/>
        <v>0.421794</v>
      </c>
      <c r="O96" s="599">
        <f t="shared" si="19"/>
        <v>0</v>
      </c>
      <c r="P96" s="598"/>
    </row>
    <row r="97" spans="1:16" ht="13.5" thickBot="1">
      <c r="A97" s="1086"/>
      <c r="B97" s="318"/>
      <c r="C97" s="604" t="s">
        <v>527</v>
      </c>
      <c r="D97" s="298" t="s">
        <v>224</v>
      </c>
      <c r="E97" s="603">
        <v>35.31</v>
      </c>
      <c r="F97" s="602">
        <f t="shared" si="10"/>
        <v>21.186</v>
      </c>
      <c r="G97" s="601">
        <f t="shared" si="11"/>
        <v>0</v>
      </c>
      <c r="H97" s="39">
        <f t="shared" si="12"/>
        <v>1.7902170000000002</v>
      </c>
      <c r="I97" s="599">
        <f t="shared" si="13"/>
        <v>0</v>
      </c>
      <c r="J97" s="600">
        <f t="shared" si="14"/>
        <v>0.677952</v>
      </c>
      <c r="K97" s="599">
        <f t="shared" si="15"/>
        <v>0</v>
      </c>
      <c r="L97" s="39">
        <f t="shared" si="16"/>
        <v>0.55719180000000001</v>
      </c>
      <c r="M97" s="599">
        <f t="shared" si="17"/>
        <v>0</v>
      </c>
      <c r="N97" s="600">
        <f t="shared" si="18"/>
        <v>0.46397339999999998</v>
      </c>
      <c r="O97" s="599">
        <f t="shared" si="19"/>
        <v>0</v>
      </c>
      <c r="P97" s="598"/>
    </row>
    <row r="98" spans="1:16" ht="26.25" thickBot="1">
      <c r="A98" s="1086"/>
      <c r="B98" s="318"/>
      <c r="C98" s="604" t="s">
        <v>298</v>
      </c>
      <c r="D98" s="605" t="s">
        <v>4044</v>
      </c>
      <c r="E98" s="603">
        <v>669.82</v>
      </c>
      <c r="F98" s="602">
        <f t="shared" si="10"/>
        <v>401.892</v>
      </c>
      <c r="G98" s="601">
        <f t="shared" si="11"/>
        <v>0</v>
      </c>
      <c r="H98" s="39">
        <f t="shared" si="12"/>
        <v>33.959873999999999</v>
      </c>
      <c r="I98" s="599">
        <f t="shared" si="13"/>
        <v>0</v>
      </c>
      <c r="J98" s="600">
        <f t="shared" si="14"/>
        <v>12.860544000000001</v>
      </c>
      <c r="K98" s="599">
        <f t="shared" si="15"/>
        <v>0</v>
      </c>
      <c r="L98" s="39">
        <f t="shared" si="16"/>
        <v>10.569759599999999</v>
      </c>
      <c r="M98" s="599">
        <f t="shared" si="17"/>
        <v>0</v>
      </c>
      <c r="N98" s="600">
        <f t="shared" si="18"/>
        <v>8.8014347999999991</v>
      </c>
      <c r="O98" s="599">
        <f t="shared" si="19"/>
        <v>0</v>
      </c>
      <c r="P98" s="598"/>
    </row>
    <row r="99" spans="1:16" ht="13.5" thickBot="1">
      <c r="A99" s="1086"/>
      <c r="B99" s="318"/>
      <c r="C99" s="604" t="s">
        <v>530</v>
      </c>
      <c r="D99" s="605" t="s">
        <v>3926</v>
      </c>
      <c r="E99" s="603">
        <v>306.02</v>
      </c>
      <c r="F99" s="602">
        <f t="shared" si="10"/>
        <v>183.61199999999999</v>
      </c>
      <c r="G99" s="601">
        <f t="shared" si="11"/>
        <v>0</v>
      </c>
      <c r="H99" s="39">
        <f t="shared" si="12"/>
        <v>15.515214</v>
      </c>
      <c r="I99" s="599">
        <f t="shared" si="13"/>
        <v>0</v>
      </c>
      <c r="J99" s="600">
        <f t="shared" si="14"/>
        <v>5.8755839999999999</v>
      </c>
      <c r="K99" s="599">
        <f t="shared" si="15"/>
        <v>0</v>
      </c>
      <c r="L99" s="39">
        <f t="shared" si="16"/>
        <v>4.8289955999999998</v>
      </c>
      <c r="M99" s="599">
        <f t="shared" si="17"/>
        <v>0</v>
      </c>
      <c r="N99" s="600">
        <f t="shared" si="18"/>
        <v>4.0211027999999995</v>
      </c>
      <c r="O99" s="599">
        <f t="shared" si="19"/>
        <v>0</v>
      </c>
      <c r="P99" s="598"/>
    </row>
    <row r="100" spans="1:16" ht="13.5" thickBot="1">
      <c r="A100" s="1086"/>
      <c r="B100" s="318"/>
      <c r="C100" s="604" t="s">
        <v>299</v>
      </c>
      <c r="D100" s="298" t="s">
        <v>437</v>
      </c>
      <c r="E100" s="603">
        <v>348.82</v>
      </c>
      <c r="F100" s="602">
        <f t="shared" si="10"/>
        <v>209.292</v>
      </c>
      <c r="G100" s="601">
        <f t="shared" si="11"/>
        <v>0</v>
      </c>
      <c r="H100" s="39">
        <f t="shared" si="12"/>
        <v>17.685174</v>
      </c>
      <c r="I100" s="599">
        <f t="shared" si="13"/>
        <v>0</v>
      </c>
      <c r="J100" s="600">
        <f t="shared" si="14"/>
        <v>6.6973440000000002</v>
      </c>
      <c r="K100" s="599">
        <f t="shared" si="15"/>
        <v>0</v>
      </c>
      <c r="L100" s="39">
        <f t="shared" si="16"/>
        <v>5.5043796</v>
      </c>
      <c r="M100" s="599">
        <f t="shared" si="17"/>
        <v>0</v>
      </c>
      <c r="N100" s="600">
        <f t="shared" si="18"/>
        <v>4.5834947999999995</v>
      </c>
      <c r="O100" s="599">
        <f t="shared" si="19"/>
        <v>0</v>
      </c>
      <c r="P100" s="598"/>
    </row>
    <row r="101" spans="1:16" ht="13.5" thickBot="1">
      <c r="A101" s="1087"/>
      <c r="B101" s="319"/>
      <c r="C101" s="297" t="s">
        <v>3880</v>
      </c>
      <c r="D101" s="298" t="s">
        <v>225</v>
      </c>
      <c r="E101" s="603">
        <v>132.68</v>
      </c>
      <c r="F101" s="602">
        <f t="shared" si="10"/>
        <v>79.608000000000004</v>
      </c>
      <c r="G101" s="601">
        <f t="shared" si="11"/>
        <v>0</v>
      </c>
      <c r="H101" s="39">
        <f t="shared" si="12"/>
        <v>6.7268760000000007</v>
      </c>
      <c r="I101" s="599">
        <f t="shared" si="13"/>
        <v>0</v>
      </c>
      <c r="J101" s="600">
        <f t="shared" si="14"/>
        <v>2.5474560000000004</v>
      </c>
      <c r="K101" s="599">
        <f t="shared" si="15"/>
        <v>0</v>
      </c>
      <c r="L101" s="39">
        <f t="shared" si="16"/>
        <v>2.0936904000000003</v>
      </c>
      <c r="M101" s="599">
        <f t="shared" si="17"/>
        <v>0</v>
      </c>
      <c r="N101" s="600">
        <f t="shared" si="18"/>
        <v>1.7434152000000001</v>
      </c>
      <c r="O101" s="599">
        <f t="shared" si="19"/>
        <v>0</v>
      </c>
      <c r="P101" s="598"/>
    </row>
    <row r="102" spans="1:16">
      <c r="D102" s="1126" t="s">
        <v>65</v>
      </c>
      <c r="E102" s="1127"/>
      <c r="F102" s="1127"/>
      <c r="G102" s="597">
        <f t="array" ref="G102">SUM(G50:G101)+G38:G50:G101+G42:G50:G101+G46</f>
        <v>0</v>
      </c>
      <c r="H102" s="557" t="s">
        <v>66</v>
      </c>
      <c r="I102" s="597">
        <f t="array" ref="I102">SUM(I50:I101)+I38:I50:I101+I42:I50:I101+I46</f>
        <v>0</v>
      </c>
      <c r="J102" s="557" t="s">
        <v>67</v>
      </c>
      <c r="K102" s="597">
        <f t="array" ref="K102">SUM(K50:K101)+K38:K50:K101+K42:K50:K101+K46</f>
        <v>0</v>
      </c>
      <c r="L102" s="557" t="s">
        <v>68</v>
      </c>
      <c r="M102" s="597">
        <f t="array" ref="M102">SUM(M50:M101)+M38:M50:M101+M42:M50:M101+M46</f>
        <v>0</v>
      </c>
      <c r="N102" s="557" t="s">
        <v>69</v>
      </c>
      <c r="O102" s="597">
        <f t="array" ref="O102">SUM(O50:O101)+O38:O50:O101+O42:O50:O101+O46</f>
        <v>0</v>
      </c>
    </row>
    <row r="103" spans="1:16">
      <c r="O103" s="596"/>
    </row>
  </sheetData>
  <mergeCells count="60">
    <mergeCell ref="A50:A101"/>
    <mergeCell ref="M42:M44"/>
    <mergeCell ref="O42:O44"/>
    <mergeCell ref="D102:F102"/>
    <mergeCell ref="I46:I48"/>
    <mergeCell ref="K46:K48"/>
    <mergeCell ref="M46:M48"/>
    <mergeCell ref="O46:O48"/>
    <mergeCell ref="G42:G44"/>
    <mergeCell ref="I42:I44"/>
    <mergeCell ref="A49:O49"/>
    <mergeCell ref="A46:A48"/>
    <mergeCell ref="B46:B48"/>
    <mergeCell ref="G46:G48"/>
    <mergeCell ref="K42:K44"/>
    <mergeCell ref="A42:A44"/>
    <mergeCell ref="B42:B44"/>
    <mergeCell ref="M38:M40"/>
    <mergeCell ref="O38:O40"/>
    <mergeCell ref="A29:C29"/>
    <mergeCell ref="A38:A40"/>
    <mergeCell ref="B38:B40"/>
    <mergeCell ref="G38:G40"/>
    <mergeCell ref="H36:O36"/>
    <mergeCell ref="F36:G36"/>
    <mergeCell ref="A30:C30"/>
    <mergeCell ref="A31:C31"/>
    <mergeCell ref="I38:I40"/>
    <mergeCell ref="K38:K40"/>
    <mergeCell ref="F33:J33"/>
    <mergeCell ref="F34:J34"/>
    <mergeCell ref="N30:O30"/>
    <mergeCell ref="N31:O31"/>
    <mergeCell ref="L30:M30"/>
    <mergeCell ref="L31:M31"/>
    <mergeCell ref="L28:M28"/>
    <mergeCell ref="L29:M29"/>
    <mergeCell ref="N28:O28"/>
    <mergeCell ref="N29:O29"/>
    <mergeCell ref="A28:C28"/>
    <mergeCell ref="E31:H31"/>
    <mergeCell ref="I31:K31"/>
    <mergeCell ref="I28:K28"/>
    <mergeCell ref="E30:H30"/>
    <mergeCell ref="I30:K30"/>
    <mergeCell ref="E29:H29"/>
    <mergeCell ref="I29:K29"/>
    <mergeCell ref="E28:H28"/>
    <mergeCell ref="A4:O4"/>
    <mergeCell ref="A5:O5"/>
    <mergeCell ref="E27:H27"/>
    <mergeCell ref="I27:K27"/>
    <mergeCell ref="A26:D26"/>
    <mergeCell ref="F10:I10"/>
    <mergeCell ref="A25:O25"/>
    <mergeCell ref="E26:K26"/>
    <mergeCell ref="A27:C27"/>
    <mergeCell ref="L26:O26"/>
    <mergeCell ref="L27:M27"/>
    <mergeCell ref="N27:O27"/>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D8C3F-70D9-4AC7-8F7D-194D16CEA0CC}">
  <sheetPr>
    <tabColor theme="0" tint="-0.34998626667073579"/>
  </sheetPr>
  <dimension ref="A7:L49"/>
  <sheetViews>
    <sheetView zoomScale="87" zoomScaleNormal="87" workbookViewId="0">
      <selection activeCell="K25" sqref="K25"/>
    </sheetView>
  </sheetViews>
  <sheetFormatPr defaultColWidth="8.85546875" defaultRowHeight="12.75"/>
  <cols>
    <col min="1" max="1" width="78.5703125" style="256" bestFit="1" customWidth="1"/>
    <col min="2" max="2" width="80.28515625" style="256" bestFit="1" customWidth="1"/>
    <col min="3" max="3" width="13.28515625" style="256" bestFit="1" customWidth="1"/>
    <col min="4" max="4" width="10.42578125" style="256" bestFit="1" customWidth="1"/>
    <col min="5" max="5" width="8.85546875" style="256"/>
    <col min="6" max="7" width="8.85546875" style="333"/>
    <col min="8" max="16384" width="8.85546875" style="256"/>
  </cols>
  <sheetData>
    <row r="7" spans="1:4" ht="30.4" customHeight="1">
      <c r="A7" s="1357" t="s">
        <v>2073</v>
      </c>
      <c r="B7" s="1357"/>
      <c r="C7" s="1357"/>
      <c r="D7" s="1357"/>
    </row>
    <row r="8" spans="1:4" ht="182.1" customHeight="1">
      <c r="A8" s="1358" t="s">
        <v>2074</v>
      </c>
      <c r="B8" s="1358"/>
      <c r="C8" s="1358"/>
      <c r="D8" s="1358"/>
    </row>
    <row r="9" spans="1:4">
      <c r="A9" s="444" t="s">
        <v>2075</v>
      </c>
      <c r="B9" s="630"/>
      <c r="C9" s="630"/>
      <c r="D9" s="630"/>
    </row>
    <row r="10" spans="1:4">
      <c r="A10" s="1359" t="s">
        <v>1660</v>
      </c>
      <c r="B10" s="1360"/>
      <c r="C10" s="1360"/>
      <c r="D10" s="1360"/>
    </row>
    <row r="11" spans="1:4">
      <c r="A11" s="916" t="s">
        <v>2076</v>
      </c>
      <c r="B11" s="916" t="s">
        <v>2077</v>
      </c>
      <c r="C11" s="916" t="s">
        <v>2078</v>
      </c>
      <c r="D11" s="715">
        <v>832</v>
      </c>
    </row>
    <row r="12" spans="1:4">
      <c r="A12" s="916" t="s">
        <v>2079</v>
      </c>
      <c r="B12" s="916" t="s">
        <v>2080</v>
      </c>
      <c r="C12" s="916" t="s">
        <v>2081</v>
      </c>
      <c r="D12" s="715">
        <v>382</v>
      </c>
    </row>
    <row r="13" spans="1:4">
      <c r="A13" s="916" t="s">
        <v>2082</v>
      </c>
      <c r="B13" s="916" t="s">
        <v>2082</v>
      </c>
      <c r="C13" s="916" t="s">
        <v>2083</v>
      </c>
      <c r="D13" s="715">
        <v>1456</v>
      </c>
    </row>
    <row r="14" spans="1:4">
      <c r="A14" s="916" t="s">
        <v>2084</v>
      </c>
      <c r="B14" s="916" t="s">
        <v>2084</v>
      </c>
      <c r="C14" s="916" t="s">
        <v>2085</v>
      </c>
      <c r="D14" s="715">
        <v>2063</v>
      </c>
    </row>
    <row r="15" spans="1:4">
      <c r="A15" s="1362" t="s">
        <v>2086</v>
      </c>
      <c r="B15" s="1363"/>
      <c r="C15" s="1363"/>
      <c r="D15" s="1363"/>
    </row>
    <row r="16" spans="1:4" ht="14.25">
      <c r="A16" s="916" t="s">
        <v>2087</v>
      </c>
      <c r="B16" s="916" t="s">
        <v>2087</v>
      </c>
      <c r="C16" s="916" t="s">
        <v>2088</v>
      </c>
      <c r="D16" s="715">
        <v>166</v>
      </c>
    </row>
    <row r="17" spans="1:4" ht="14.25">
      <c r="A17" s="916" t="s">
        <v>2089</v>
      </c>
      <c r="B17" s="916" t="s">
        <v>2090</v>
      </c>
      <c r="C17" s="916" t="s">
        <v>2091</v>
      </c>
      <c r="D17" s="715">
        <v>582</v>
      </c>
    </row>
    <row r="18" spans="1:4">
      <c r="A18" s="916" t="s">
        <v>2092</v>
      </c>
      <c r="B18" s="916" t="s">
        <v>2093</v>
      </c>
      <c r="C18" s="916" t="s">
        <v>2094</v>
      </c>
      <c r="D18" s="715">
        <v>76</v>
      </c>
    </row>
    <row r="19" spans="1:4">
      <c r="A19" s="916" t="s">
        <v>2095</v>
      </c>
      <c r="B19" s="916" t="s">
        <v>2096</v>
      </c>
      <c r="C19" s="916" t="s">
        <v>2097</v>
      </c>
      <c r="D19" s="715">
        <v>267</v>
      </c>
    </row>
    <row r="20" spans="1:4">
      <c r="A20" s="916" t="s">
        <v>2098</v>
      </c>
      <c r="B20" s="916" t="s">
        <v>2099</v>
      </c>
      <c r="C20" s="916" t="s">
        <v>2100</v>
      </c>
      <c r="D20" s="715">
        <v>145</v>
      </c>
    </row>
    <row r="21" spans="1:4">
      <c r="A21" s="916" t="s">
        <v>2101</v>
      </c>
      <c r="B21" s="916" t="s">
        <v>2102</v>
      </c>
      <c r="C21" s="916" t="s">
        <v>2103</v>
      </c>
      <c r="D21" s="715">
        <v>509</v>
      </c>
    </row>
    <row r="22" spans="1:4">
      <c r="A22" s="916" t="s">
        <v>2104</v>
      </c>
      <c r="B22" s="916" t="s">
        <v>2105</v>
      </c>
      <c r="C22" s="916" t="s">
        <v>2106</v>
      </c>
      <c r="D22" s="715">
        <v>145</v>
      </c>
    </row>
    <row r="23" spans="1:4">
      <c r="A23" s="916" t="s">
        <v>2107</v>
      </c>
      <c r="B23" s="916" t="s">
        <v>2108</v>
      </c>
      <c r="C23" s="916" t="s">
        <v>2109</v>
      </c>
      <c r="D23" s="715">
        <v>509</v>
      </c>
    </row>
    <row r="24" spans="1:4">
      <c r="A24" s="916" t="s">
        <v>2110</v>
      </c>
      <c r="B24" s="916" t="s">
        <v>2111</v>
      </c>
      <c r="C24" s="916" t="s">
        <v>2112</v>
      </c>
      <c r="D24" s="715">
        <v>145</v>
      </c>
    </row>
    <row r="25" spans="1:4">
      <c r="A25" s="916" t="s">
        <v>2113</v>
      </c>
      <c r="B25" s="916" t="s">
        <v>2114</v>
      </c>
      <c r="C25" s="916" t="s">
        <v>2115</v>
      </c>
      <c r="D25" s="715">
        <v>509</v>
      </c>
    </row>
    <row r="26" spans="1:4">
      <c r="A26" s="916" t="s">
        <v>2116</v>
      </c>
      <c r="B26" s="916" t="s">
        <v>2117</v>
      </c>
      <c r="C26" s="916" t="s">
        <v>2118</v>
      </c>
      <c r="D26" s="715">
        <v>229</v>
      </c>
    </row>
    <row r="27" spans="1:4">
      <c r="A27" s="1362" t="s">
        <v>2119</v>
      </c>
      <c r="B27" s="1363"/>
      <c r="C27" s="1363"/>
      <c r="D27" s="1363"/>
    </row>
    <row r="28" spans="1:4">
      <c r="A28" s="916" t="s">
        <v>2120</v>
      </c>
      <c r="B28" s="916" t="s">
        <v>2120</v>
      </c>
      <c r="C28" s="916" t="s">
        <v>2121</v>
      </c>
      <c r="D28" s="715">
        <v>330</v>
      </c>
    </row>
    <row r="29" spans="1:4">
      <c r="A29" s="916" t="s">
        <v>2122</v>
      </c>
      <c r="B29" s="916" t="s">
        <v>2123</v>
      </c>
      <c r="C29" s="916" t="s">
        <v>2124</v>
      </c>
      <c r="D29" s="715">
        <v>727</v>
      </c>
    </row>
    <row r="30" spans="1:4">
      <c r="A30" s="916" t="s">
        <v>2125</v>
      </c>
      <c r="B30" s="916" t="s">
        <v>2126</v>
      </c>
      <c r="C30" s="916" t="s">
        <v>2127</v>
      </c>
      <c r="D30" s="715">
        <v>832</v>
      </c>
    </row>
    <row r="31" spans="1:4">
      <c r="A31" s="916" t="s">
        <v>2128</v>
      </c>
      <c r="B31" s="916" t="s">
        <v>2129</v>
      </c>
      <c r="C31" s="916" t="s">
        <v>2130</v>
      </c>
      <c r="D31" s="715">
        <v>727</v>
      </c>
    </row>
    <row r="32" spans="1:4">
      <c r="A32" s="916" t="s">
        <v>2131</v>
      </c>
      <c r="B32" s="916" t="s">
        <v>2132</v>
      </c>
      <c r="C32" s="916" t="s">
        <v>2133</v>
      </c>
      <c r="D32" s="715">
        <v>727</v>
      </c>
    </row>
    <row r="33" spans="1:12">
      <c r="A33" s="916" t="s">
        <v>2134</v>
      </c>
      <c r="B33" s="916" t="s">
        <v>2135</v>
      </c>
      <c r="C33" s="916" t="s">
        <v>2136</v>
      </c>
      <c r="D33" s="715">
        <v>727</v>
      </c>
    </row>
    <row r="34" spans="1:12">
      <c r="A34" s="916" t="s">
        <v>2137</v>
      </c>
      <c r="B34" s="916" t="s">
        <v>2138</v>
      </c>
      <c r="C34" s="916" t="s">
        <v>2139</v>
      </c>
      <c r="D34" s="715">
        <v>727</v>
      </c>
    </row>
    <row r="35" spans="1:12">
      <c r="A35" s="916" t="s">
        <v>2140</v>
      </c>
      <c r="B35" s="916" t="s">
        <v>2141</v>
      </c>
      <c r="C35" s="916" t="s">
        <v>2142</v>
      </c>
      <c r="D35" s="715">
        <v>727</v>
      </c>
    </row>
    <row r="36" spans="1:12">
      <c r="A36" s="916" t="s">
        <v>2143</v>
      </c>
      <c r="B36" s="916" t="s">
        <v>2144</v>
      </c>
      <c r="C36" s="916" t="s">
        <v>2145</v>
      </c>
      <c r="D36" s="715">
        <v>1146</v>
      </c>
    </row>
    <row r="37" spans="1:12">
      <c r="A37" s="1362" t="s">
        <v>1833</v>
      </c>
      <c r="B37" s="1363"/>
      <c r="C37" s="1363"/>
      <c r="D37" s="1363"/>
    </row>
    <row r="38" spans="1:12">
      <c r="A38" s="916" t="s">
        <v>2146</v>
      </c>
      <c r="B38" s="916" t="s">
        <v>2147</v>
      </c>
      <c r="C38" s="916" t="s">
        <v>2148</v>
      </c>
      <c r="D38" s="715">
        <v>200</v>
      </c>
    </row>
    <row r="39" spans="1:12">
      <c r="A39" s="1359" t="s">
        <v>2149</v>
      </c>
      <c r="B39" s="1360"/>
      <c r="C39" s="1360"/>
      <c r="D39" s="1360"/>
      <c r="L39" s="859">
        <f>F39*0.0256</f>
        <v>0</v>
      </c>
    </row>
    <row r="40" spans="1:12">
      <c r="A40" s="916" t="s">
        <v>2150</v>
      </c>
      <c r="B40" s="916" t="s">
        <v>2150</v>
      </c>
      <c r="C40" s="916" t="s">
        <v>2151</v>
      </c>
      <c r="D40" s="715">
        <v>165</v>
      </c>
    </row>
    <row r="41" spans="1:12">
      <c r="A41" s="916" t="s">
        <v>2152</v>
      </c>
      <c r="B41" s="916" t="s">
        <v>2152</v>
      </c>
      <c r="C41" s="916" t="s">
        <v>2153</v>
      </c>
      <c r="D41" s="715">
        <v>225</v>
      </c>
    </row>
    <row r="42" spans="1:12">
      <c r="A42" s="916" t="s">
        <v>2154</v>
      </c>
      <c r="B42" s="916" t="s">
        <v>2154</v>
      </c>
      <c r="C42" s="916" t="s">
        <v>2155</v>
      </c>
      <c r="D42" s="715">
        <v>165</v>
      </c>
    </row>
    <row r="43" spans="1:12">
      <c r="A43" s="916" t="s">
        <v>2156</v>
      </c>
      <c r="B43" s="916" t="s">
        <v>2157</v>
      </c>
      <c r="C43" s="916" t="s">
        <v>2158</v>
      </c>
      <c r="D43" s="715">
        <v>2750</v>
      </c>
    </row>
    <row r="44" spans="1:12">
      <c r="A44" s="916" t="s">
        <v>2159</v>
      </c>
      <c r="B44" s="916" t="s">
        <v>2160</v>
      </c>
      <c r="C44" s="916" t="s">
        <v>2161</v>
      </c>
      <c r="D44" s="715">
        <v>995</v>
      </c>
    </row>
    <row r="45" spans="1:12">
      <c r="A45" s="630" t="s">
        <v>2072</v>
      </c>
      <c r="B45" s="630"/>
      <c r="C45" s="630"/>
      <c r="D45" s="630"/>
    </row>
    <row r="46" spans="1:12" ht="12.4" customHeight="1">
      <c r="A46" s="1361" t="s">
        <v>2162</v>
      </c>
      <c r="B46" s="1361"/>
      <c r="C46" s="1361"/>
      <c r="D46" s="1361"/>
    </row>
    <row r="47" spans="1:12" ht="12.4" customHeight="1">
      <c r="A47" s="1361" t="s">
        <v>2163</v>
      </c>
      <c r="B47" s="1361"/>
      <c r="C47" s="1361"/>
      <c r="D47" s="1361"/>
    </row>
    <row r="48" spans="1:12">
      <c r="A48" s="1361" t="s">
        <v>2164</v>
      </c>
      <c r="B48" s="1361"/>
      <c r="C48" s="1361"/>
      <c r="D48" s="1361"/>
    </row>
    <row r="49" spans="1:4">
      <c r="A49" s="917"/>
      <c r="B49" s="917"/>
      <c r="C49" s="917"/>
      <c r="D49" s="917"/>
    </row>
  </sheetData>
  <mergeCells count="10">
    <mergeCell ref="A39:D39"/>
    <mergeCell ref="A46:D46"/>
    <mergeCell ref="A47:D47"/>
    <mergeCell ref="A48:D48"/>
    <mergeCell ref="A7:D7"/>
    <mergeCell ref="A8:D8"/>
    <mergeCell ref="A10:D10"/>
    <mergeCell ref="A15:D15"/>
    <mergeCell ref="A27:D27"/>
    <mergeCell ref="A37:D37"/>
  </mergeCells>
  <hyperlinks>
    <hyperlink ref="A9" r:id="rId1" xr:uid="{A998F19C-2FCA-4C08-A0B3-4C27FD8521BE}"/>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C6DA3-A68D-439C-9ED0-DFB3570F8D9D}">
  <sheetPr>
    <tabColor theme="3" tint="0.39997558519241921"/>
  </sheetPr>
  <dimension ref="A1:L211"/>
  <sheetViews>
    <sheetView zoomScaleNormal="100" workbookViewId="0">
      <selection activeCell="K25" sqref="K25"/>
    </sheetView>
  </sheetViews>
  <sheetFormatPr defaultColWidth="8.85546875" defaultRowHeight="12.75"/>
  <cols>
    <col min="1" max="2" width="76.140625" style="630" bestFit="1" customWidth="1"/>
    <col min="3" max="3" width="11.42578125" style="630" bestFit="1" customWidth="1"/>
    <col min="4" max="4" width="11.28515625" style="630" bestFit="1" customWidth="1"/>
    <col min="5" max="16384" width="8.85546875" style="630"/>
  </cols>
  <sheetData>
    <row r="1" spans="1:4" ht="30">
      <c r="A1" s="1357" t="s">
        <v>2165</v>
      </c>
      <c r="B1" s="1357"/>
      <c r="C1" s="1357"/>
      <c r="D1" s="1357"/>
    </row>
    <row r="2" spans="1:4" ht="119.1" customHeight="1">
      <c r="A2" s="1358" t="s">
        <v>2166</v>
      </c>
      <c r="B2" s="1358"/>
      <c r="C2" s="1358"/>
      <c r="D2" s="1358"/>
    </row>
    <row r="3" spans="1:4">
      <c r="A3" s="445" t="s">
        <v>2167</v>
      </c>
    </row>
    <row r="4" spans="1:4">
      <c r="A4" s="1359" t="s">
        <v>1660</v>
      </c>
      <c r="B4" s="1360"/>
      <c r="C4" s="1360"/>
      <c r="D4" s="1360"/>
    </row>
    <row r="5" spans="1:4">
      <c r="A5" s="916" t="s">
        <v>2168</v>
      </c>
      <c r="B5" s="916" t="s">
        <v>2168</v>
      </c>
      <c r="C5" s="916" t="s">
        <v>2169</v>
      </c>
      <c r="D5" s="715">
        <v>5395</v>
      </c>
    </row>
    <row r="6" spans="1:4">
      <c r="A6" s="916" t="s">
        <v>2170</v>
      </c>
      <c r="B6" s="916" t="s">
        <v>2170</v>
      </c>
      <c r="C6" s="916" t="s">
        <v>2171</v>
      </c>
      <c r="D6" s="715">
        <v>12795</v>
      </c>
    </row>
    <row r="7" spans="1:4">
      <c r="A7" s="916" t="s">
        <v>2172</v>
      </c>
      <c r="B7" s="916" t="s">
        <v>2172</v>
      </c>
      <c r="C7" s="916" t="s">
        <v>2173</v>
      </c>
      <c r="D7" s="715">
        <v>23995</v>
      </c>
    </row>
    <row r="8" spans="1:4">
      <c r="A8" s="916" t="s">
        <v>2174</v>
      </c>
      <c r="B8" s="916" t="s">
        <v>2174</v>
      </c>
      <c r="C8" s="916" t="s">
        <v>2175</v>
      </c>
      <c r="D8" s="715">
        <v>44995</v>
      </c>
    </row>
    <row r="9" spans="1:4">
      <c r="A9" s="916" t="s">
        <v>2176</v>
      </c>
      <c r="B9" s="916" t="s">
        <v>2176</v>
      </c>
      <c r="C9" s="916" t="s">
        <v>2177</v>
      </c>
      <c r="D9" s="715">
        <v>3300</v>
      </c>
    </row>
    <row r="10" spans="1:4">
      <c r="A10" s="916" t="s">
        <v>2178</v>
      </c>
      <c r="B10" s="916" t="s">
        <v>2178</v>
      </c>
      <c r="C10" s="916" t="s">
        <v>2179</v>
      </c>
      <c r="D10" s="715">
        <v>210000</v>
      </c>
    </row>
    <row r="11" spans="1:4">
      <c r="A11" s="630" t="s">
        <v>2072</v>
      </c>
    </row>
    <row r="12" spans="1:4">
      <c r="A12" s="1359" t="s">
        <v>2180</v>
      </c>
      <c r="B12" s="1360"/>
      <c r="C12" s="1360"/>
      <c r="D12" s="1360"/>
    </row>
    <row r="13" spans="1:4">
      <c r="A13" s="916" t="s">
        <v>2181</v>
      </c>
      <c r="B13" s="916" t="s">
        <v>2181</v>
      </c>
      <c r="C13" s="916" t="s">
        <v>2182</v>
      </c>
      <c r="D13" s="715">
        <v>1079</v>
      </c>
    </row>
    <row r="14" spans="1:4">
      <c r="A14" s="916" t="s">
        <v>2183</v>
      </c>
      <c r="B14" s="916" t="s">
        <v>2183</v>
      </c>
      <c r="C14" s="916" t="s">
        <v>2184</v>
      </c>
      <c r="D14" s="715">
        <v>2559</v>
      </c>
    </row>
    <row r="15" spans="1:4">
      <c r="A15" s="916" t="s">
        <v>2185</v>
      </c>
      <c r="B15" s="916" t="s">
        <v>2185</v>
      </c>
      <c r="C15" s="916" t="s">
        <v>2186</v>
      </c>
      <c r="D15" s="715">
        <v>4799</v>
      </c>
    </row>
    <row r="16" spans="1:4">
      <c r="A16" s="916" t="s">
        <v>2187</v>
      </c>
      <c r="B16" s="916" t="s">
        <v>2187</v>
      </c>
      <c r="C16" s="916" t="s">
        <v>2188</v>
      </c>
      <c r="D16" s="715">
        <v>8999</v>
      </c>
    </row>
    <row r="17" spans="1:4">
      <c r="A17" s="916" t="s">
        <v>2189</v>
      </c>
      <c r="B17" s="916" t="s">
        <v>2189</v>
      </c>
      <c r="C17" s="916" t="s">
        <v>2190</v>
      </c>
      <c r="D17" s="715">
        <v>3075</v>
      </c>
    </row>
    <row r="18" spans="1:4">
      <c r="A18" s="916" t="s">
        <v>2191</v>
      </c>
      <c r="B18" s="916" t="s">
        <v>2191</v>
      </c>
      <c r="C18" s="916" t="s">
        <v>2192</v>
      </c>
      <c r="D18" s="715">
        <v>7293</v>
      </c>
    </row>
    <row r="19" spans="1:4">
      <c r="A19" s="916" t="s">
        <v>2193</v>
      </c>
      <c r="B19" s="916" t="s">
        <v>2193</v>
      </c>
      <c r="C19" s="916" t="s">
        <v>2194</v>
      </c>
      <c r="D19" s="715">
        <v>13677</v>
      </c>
    </row>
    <row r="20" spans="1:4">
      <c r="A20" s="916" t="s">
        <v>2195</v>
      </c>
      <c r="B20" s="916" t="s">
        <v>2195</v>
      </c>
      <c r="C20" s="916" t="s">
        <v>2196</v>
      </c>
      <c r="D20" s="715">
        <v>25647</v>
      </c>
    </row>
    <row r="21" spans="1:4">
      <c r="A21" s="916" t="s">
        <v>2197</v>
      </c>
      <c r="B21" s="916" t="s">
        <v>2197</v>
      </c>
      <c r="C21" s="916" t="s">
        <v>2198</v>
      </c>
      <c r="D21" s="715">
        <v>4856</v>
      </c>
    </row>
    <row r="22" spans="1:4">
      <c r="A22" s="916" t="s">
        <v>2199</v>
      </c>
      <c r="B22" s="916" t="s">
        <v>2199</v>
      </c>
      <c r="C22" s="916" t="s">
        <v>2200</v>
      </c>
      <c r="D22" s="715">
        <v>11516</v>
      </c>
    </row>
    <row r="23" spans="1:4">
      <c r="A23" s="916" t="s">
        <v>2201</v>
      </c>
      <c r="B23" s="916" t="s">
        <v>2201</v>
      </c>
      <c r="C23" s="916" t="s">
        <v>2202</v>
      </c>
      <c r="D23" s="715">
        <v>21596</v>
      </c>
    </row>
    <row r="24" spans="1:4">
      <c r="A24" s="916" t="s">
        <v>2203</v>
      </c>
      <c r="B24" s="916" t="s">
        <v>2203</v>
      </c>
      <c r="C24" s="916" t="s">
        <v>2204</v>
      </c>
      <c r="D24" s="715">
        <v>40496</v>
      </c>
    </row>
    <row r="25" spans="1:4">
      <c r="A25" s="916" t="s">
        <v>2205</v>
      </c>
      <c r="B25" s="916" t="s">
        <v>2206</v>
      </c>
      <c r="C25" s="916" t="s">
        <v>2207</v>
      </c>
      <c r="D25" s="715">
        <v>660</v>
      </c>
    </row>
    <row r="26" spans="1:4">
      <c r="A26" s="916" t="s">
        <v>2208</v>
      </c>
      <c r="B26" s="916" t="s">
        <v>2209</v>
      </c>
      <c r="C26" s="916" t="s">
        <v>2210</v>
      </c>
      <c r="D26" s="715">
        <v>1881</v>
      </c>
    </row>
    <row r="27" spans="1:4">
      <c r="A27" s="916" t="s">
        <v>2211</v>
      </c>
      <c r="B27" s="916" t="s">
        <v>2212</v>
      </c>
      <c r="C27" s="916" t="s">
        <v>2213</v>
      </c>
      <c r="D27" s="715">
        <v>2970</v>
      </c>
    </row>
    <row r="28" spans="1:4">
      <c r="A28" s="916" t="s">
        <v>2214</v>
      </c>
      <c r="B28" s="916" t="s">
        <v>2215</v>
      </c>
      <c r="C28" s="916" t="s">
        <v>2216</v>
      </c>
      <c r="D28" s="715">
        <v>1100</v>
      </c>
    </row>
    <row r="29" spans="1:4">
      <c r="A29" s="916" t="s">
        <v>2217</v>
      </c>
      <c r="B29" s="916" t="s">
        <v>2217</v>
      </c>
      <c r="C29" s="916" t="s">
        <v>2218</v>
      </c>
      <c r="D29" s="715">
        <v>42000</v>
      </c>
    </row>
    <row r="30" spans="1:4">
      <c r="A30" s="916" t="s">
        <v>2219</v>
      </c>
      <c r="B30" s="916" t="s">
        <v>2219</v>
      </c>
      <c r="C30" s="916" t="s">
        <v>2220</v>
      </c>
      <c r="D30" s="715">
        <v>119700</v>
      </c>
    </row>
    <row r="31" spans="1:4">
      <c r="A31" s="916" t="s">
        <v>2221</v>
      </c>
      <c r="B31" s="916" t="s">
        <v>2221</v>
      </c>
      <c r="C31" s="916" t="s">
        <v>2222</v>
      </c>
      <c r="D31" s="715">
        <v>189000</v>
      </c>
    </row>
    <row r="32" spans="1:4">
      <c r="A32" s="1359" t="s">
        <v>2223</v>
      </c>
      <c r="B32" s="1360"/>
      <c r="C32" s="1360"/>
      <c r="D32" s="1360"/>
    </row>
    <row r="33" spans="1:12" ht="14.25">
      <c r="A33" s="916" t="s">
        <v>2224</v>
      </c>
      <c r="B33" s="916" t="s">
        <v>2224</v>
      </c>
      <c r="C33" s="916" t="s">
        <v>2225</v>
      </c>
      <c r="D33" s="715">
        <v>600</v>
      </c>
    </row>
    <row r="34" spans="1:12">
      <c r="A34" s="916" t="s">
        <v>2226</v>
      </c>
      <c r="B34" s="916" t="s">
        <v>2226</v>
      </c>
      <c r="C34" s="916" t="s">
        <v>2227</v>
      </c>
      <c r="D34" s="715">
        <v>500</v>
      </c>
    </row>
    <row r="35" spans="1:12" ht="14.25">
      <c r="A35" s="916" t="s">
        <v>2228</v>
      </c>
      <c r="B35" s="916" t="s">
        <v>2072</v>
      </c>
      <c r="C35" s="916" t="s">
        <v>2229</v>
      </c>
      <c r="D35" s="715">
        <v>800</v>
      </c>
    </row>
    <row r="36" spans="1:12">
      <c r="A36" s="916" t="s">
        <v>2230</v>
      </c>
      <c r="B36" s="916" t="s">
        <v>2230</v>
      </c>
      <c r="C36" s="916" t="s">
        <v>2231</v>
      </c>
      <c r="D36" s="715">
        <v>200</v>
      </c>
    </row>
    <row r="37" spans="1:12">
      <c r="A37" s="916" t="s">
        <v>2232</v>
      </c>
      <c r="B37" s="916" t="s">
        <v>2232</v>
      </c>
      <c r="C37" s="916" t="s">
        <v>2233</v>
      </c>
      <c r="D37" s="715">
        <v>300</v>
      </c>
    </row>
    <row r="38" spans="1:12">
      <c r="A38" s="916" t="s">
        <v>2234</v>
      </c>
      <c r="B38" s="916" t="s">
        <v>2235</v>
      </c>
      <c r="C38" s="916" t="s">
        <v>2236</v>
      </c>
      <c r="D38" s="715">
        <v>100</v>
      </c>
    </row>
    <row r="39" spans="1:12">
      <c r="A39" s="916" t="s">
        <v>2237</v>
      </c>
      <c r="B39" s="916" t="s">
        <v>2238</v>
      </c>
      <c r="C39" s="916" t="s">
        <v>2239</v>
      </c>
      <c r="D39" s="715">
        <v>400</v>
      </c>
      <c r="L39" s="630">
        <f>F39*0.0256</f>
        <v>0</v>
      </c>
    </row>
    <row r="40" spans="1:12">
      <c r="A40" s="916" t="s">
        <v>2240</v>
      </c>
      <c r="B40" s="916" t="s">
        <v>2240</v>
      </c>
      <c r="C40" s="916" t="s">
        <v>2241</v>
      </c>
      <c r="D40" s="715">
        <v>500</v>
      </c>
    </row>
    <row r="41" spans="1:12">
      <c r="A41" s="916" t="s">
        <v>2242</v>
      </c>
      <c r="B41" s="916" t="s">
        <v>2242</v>
      </c>
      <c r="C41" s="916" t="s">
        <v>2243</v>
      </c>
      <c r="D41" s="715">
        <v>2244</v>
      </c>
    </row>
    <row r="42" spans="1:12">
      <c r="A42" s="916" t="s">
        <v>2244</v>
      </c>
      <c r="B42" s="916" t="s">
        <v>2244</v>
      </c>
      <c r="C42" s="916" t="s">
        <v>2245</v>
      </c>
      <c r="D42" s="715">
        <v>1000</v>
      </c>
    </row>
    <row r="43" spans="1:12">
      <c r="A43" s="916" t="s">
        <v>2246</v>
      </c>
      <c r="B43" s="916" t="s">
        <v>2246</v>
      </c>
      <c r="C43" s="916" t="s">
        <v>2247</v>
      </c>
      <c r="D43" s="715">
        <v>3395</v>
      </c>
    </row>
    <row r="44" spans="1:12" ht="14.25">
      <c r="A44" s="916" t="s">
        <v>2248</v>
      </c>
      <c r="B44" s="916" t="s">
        <v>2248</v>
      </c>
      <c r="C44" s="916" t="s">
        <v>2249</v>
      </c>
      <c r="D44" s="715">
        <v>400</v>
      </c>
    </row>
    <row r="45" spans="1:12">
      <c r="A45" s="916" t="s">
        <v>2250</v>
      </c>
      <c r="B45" s="916" t="s">
        <v>2250</v>
      </c>
      <c r="C45" s="916" t="s">
        <v>2251</v>
      </c>
      <c r="D45" s="715">
        <v>400</v>
      </c>
    </row>
    <row r="46" spans="1:12">
      <c r="A46" s="916" t="s">
        <v>2252</v>
      </c>
      <c r="B46" s="916" t="s">
        <v>2252</v>
      </c>
      <c r="C46" s="916" t="s">
        <v>2253</v>
      </c>
      <c r="D46" s="715">
        <v>1000</v>
      </c>
    </row>
    <row r="47" spans="1:12" ht="14.25">
      <c r="A47" s="916" t="s">
        <v>2254</v>
      </c>
      <c r="B47" s="916" t="s">
        <v>2255</v>
      </c>
      <c r="C47" s="916" t="s">
        <v>2256</v>
      </c>
      <c r="D47" s="715">
        <v>960</v>
      </c>
    </row>
    <row r="48" spans="1:12">
      <c r="A48" s="916" t="s">
        <v>2257</v>
      </c>
      <c r="B48" s="916" t="s">
        <v>2257</v>
      </c>
      <c r="C48" s="916" t="s">
        <v>2258</v>
      </c>
      <c r="D48" s="715">
        <v>1795</v>
      </c>
    </row>
    <row r="49" spans="1:4">
      <c r="A49" s="916" t="s">
        <v>2259</v>
      </c>
      <c r="B49" s="916" t="s">
        <v>2259</v>
      </c>
      <c r="C49" s="916" t="s">
        <v>2260</v>
      </c>
      <c r="D49" s="715">
        <v>250</v>
      </c>
    </row>
    <row r="50" spans="1:4">
      <c r="A50" s="916" t="s">
        <v>2261</v>
      </c>
      <c r="B50" s="916" t="s">
        <v>2261</v>
      </c>
      <c r="C50" s="916" t="s">
        <v>2262</v>
      </c>
      <c r="D50" s="715">
        <v>625</v>
      </c>
    </row>
    <row r="51" spans="1:4">
      <c r="A51" s="916" t="s">
        <v>2263</v>
      </c>
      <c r="B51" s="916" t="s">
        <v>2263</v>
      </c>
      <c r="C51" s="916" t="s">
        <v>2264</v>
      </c>
      <c r="D51" s="715">
        <v>1195</v>
      </c>
    </row>
    <row r="52" spans="1:4">
      <c r="A52" s="916" t="s">
        <v>2265</v>
      </c>
      <c r="B52" s="916" t="s">
        <v>2265</v>
      </c>
      <c r="C52" s="916" t="s">
        <v>2266</v>
      </c>
      <c r="D52" s="715">
        <v>2195</v>
      </c>
    </row>
    <row r="53" spans="1:4">
      <c r="A53" s="916" t="s">
        <v>2267</v>
      </c>
      <c r="B53" s="916" t="s">
        <v>2267</v>
      </c>
      <c r="C53" s="916" t="s">
        <v>2268</v>
      </c>
      <c r="D53" s="715">
        <v>4495</v>
      </c>
    </row>
    <row r="54" spans="1:4">
      <c r="A54" s="916" t="s">
        <v>2269</v>
      </c>
      <c r="B54" s="916" t="s">
        <v>2269</v>
      </c>
      <c r="C54" s="916" t="s">
        <v>2270</v>
      </c>
      <c r="D54" s="715">
        <v>7495</v>
      </c>
    </row>
    <row r="55" spans="1:4">
      <c r="A55" s="916" t="s">
        <v>2271</v>
      </c>
      <c r="B55" s="916" t="s">
        <v>2271</v>
      </c>
      <c r="C55" s="916" t="s">
        <v>2272</v>
      </c>
      <c r="D55" s="715">
        <v>7995</v>
      </c>
    </row>
    <row r="56" spans="1:4">
      <c r="A56" s="916" t="s">
        <v>2273</v>
      </c>
      <c r="B56" s="916" t="s">
        <v>2273</v>
      </c>
      <c r="C56" s="916" t="s">
        <v>2274</v>
      </c>
      <c r="D56" s="715">
        <v>100</v>
      </c>
    </row>
    <row r="57" spans="1:4">
      <c r="A57" s="916" t="s">
        <v>2275</v>
      </c>
      <c r="B57" s="916" t="s">
        <v>2275</v>
      </c>
      <c r="C57" s="916" t="s">
        <v>2276</v>
      </c>
      <c r="D57" s="715">
        <v>600</v>
      </c>
    </row>
    <row r="58" spans="1:4">
      <c r="A58" s="916" t="s">
        <v>2277</v>
      </c>
      <c r="B58" s="916" t="s">
        <v>2277</v>
      </c>
      <c r="C58" s="916" t="s">
        <v>2278</v>
      </c>
      <c r="D58" s="715">
        <v>600</v>
      </c>
    </row>
    <row r="59" spans="1:4">
      <c r="A59" s="916" t="s">
        <v>2279</v>
      </c>
      <c r="B59" s="916" t="s">
        <v>2279</v>
      </c>
      <c r="C59" s="916" t="s">
        <v>2280</v>
      </c>
      <c r="D59" s="715">
        <v>5400</v>
      </c>
    </row>
    <row r="60" spans="1:4">
      <c r="A60" s="916" t="s">
        <v>2281</v>
      </c>
      <c r="B60" s="916" t="s">
        <v>2281</v>
      </c>
      <c r="C60" s="916" t="s">
        <v>2282</v>
      </c>
      <c r="D60" s="715">
        <v>5400</v>
      </c>
    </row>
    <row r="61" spans="1:4">
      <c r="A61" s="916" t="s">
        <v>2283</v>
      </c>
      <c r="B61" s="916" t="s">
        <v>2283</v>
      </c>
      <c r="C61" s="916" t="s">
        <v>2284</v>
      </c>
      <c r="D61" s="715">
        <v>600</v>
      </c>
    </row>
    <row r="62" spans="1:4">
      <c r="A62" s="916" t="s">
        <v>2285</v>
      </c>
      <c r="B62" s="916" t="s">
        <v>2285</v>
      </c>
      <c r="C62" s="916" t="s">
        <v>2286</v>
      </c>
      <c r="D62" s="715">
        <v>600</v>
      </c>
    </row>
    <row r="63" spans="1:4" ht="14.25">
      <c r="A63" s="916" t="s">
        <v>2287</v>
      </c>
      <c r="B63" s="916" t="s">
        <v>2288</v>
      </c>
      <c r="C63" s="916" t="s">
        <v>2289</v>
      </c>
      <c r="D63" s="715">
        <v>500</v>
      </c>
    </row>
    <row r="64" spans="1:4">
      <c r="A64" s="916" t="s">
        <v>2290</v>
      </c>
      <c r="B64" s="916" t="s">
        <v>2291</v>
      </c>
      <c r="C64" s="916" t="s">
        <v>2292</v>
      </c>
      <c r="D64" s="715">
        <v>400</v>
      </c>
    </row>
    <row r="65" spans="1:4">
      <c r="A65" s="916" t="s">
        <v>2293</v>
      </c>
      <c r="B65" s="916" t="s">
        <v>2293</v>
      </c>
      <c r="C65" s="916" t="s">
        <v>2294</v>
      </c>
      <c r="D65" s="715">
        <v>1000</v>
      </c>
    </row>
    <row r="66" spans="1:4">
      <c r="A66" s="916" t="s">
        <v>2295</v>
      </c>
      <c r="B66" s="916" t="s">
        <v>2296</v>
      </c>
      <c r="C66" s="916" t="s">
        <v>2297</v>
      </c>
      <c r="D66" s="715">
        <v>800</v>
      </c>
    </row>
    <row r="67" spans="1:4">
      <c r="A67" s="916" t="s">
        <v>2298</v>
      </c>
      <c r="B67" s="916" t="s">
        <v>2299</v>
      </c>
      <c r="C67" s="916" t="s">
        <v>2300</v>
      </c>
      <c r="D67" s="715">
        <v>1285</v>
      </c>
    </row>
    <row r="68" spans="1:4">
      <c r="A68" s="916" t="s">
        <v>2301</v>
      </c>
      <c r="B68" s="916" t="s">
        <v>2302</v>
      </c>
      <c r="C68" s="916" t="s">
        <v>2303</v>
      </c>
      <c r="D68" s="715">
        <v>1680</v>
      </c>
    </row>
    <row r="69" spans="1:4">
      <c r="A69" s="916" t="s">
        <v>2304</v>
      </c>
      <c r="B69" s="916" t="s">
        <v>2305</v>
      </c>
      <c r="C69" s="916" t="s">
        <v>2306</v>
      </c>
      <c r="D69" s="715">
        <v>4182</v>
      </c>
    </row>
    <row r="70" spans="1:4">
      <c r="A70" s="916" t="s">
        <v>2307</v>
      </c>
      <c r="B70" s="916" t="s">
        <v>2308</v>
      </c>
      <c r="C70" s="916" t="s">
        <v>2309</v>
      </c>
      <c r="D70" s="715">
        <v>7958</v>
      </c>
    </row>
    <row r="71" spans="1:4">
      <c r="A71" s="916" t="s">
        <v>2310</v>
      </c>
      <c r="B71" s="916" t="s">
        <v>2311</v>
      </c>
      <c r="C71" s="916" t="s">
        <v>2312</v>
      </c>
      <c r="D71" s="715">
        <v>14968</v>
      </c>
    </row>
    <row r="72" spans="1:4">
      <c r="A72" s="916" t="s">
        <v>2313</v>
      </c>
      <c r="B72" s="916" t="s">
        <v>2314</v>
      </c>
      <c r="C72" s="916" t="s">
        <v>2315</v>
      </c>
      <c r="D72" s="715">
        <v>70040</v>
      </c>
    </row>
    <row r="73" spans="1:4">
      <c r="A73" s="916" t="s">
        <v>2316</v>
      </c>
      <c r="B73" s="916" t="s">
        <v>2317</v>
      </c>
      <c r="C73" s="916" t="s">
        <v>2318</v>
      </c>
      <c r="D73" s="715">
        <v>335</v>
      </c>
    </row>
    <row r="74" spans="1:4">
      <c r="A74" s="916" t="s">
        <v>2319</v>
      </c>
      <c r="B74" s="916" t="s">
        <v>2319</v>
      </c>
      <c r="C74" s="916" t="s">
        <v>2320</v>
      </c>
      <c r="D74" s="715">
        <v>200</v>
      </c>
    </row>
    <row r="75" spans="1:4">
      <c r="A75" s="1359" t="s">
        <v>2321</v>
      </c>
      <c r="B75" s="1360"/>
      <c r="C75" s="1360"/>
      <c r="D75" s="1360"/>
    </row>
    <row r="76" spans="1:4">
      <c r="A76" s="916" t="s">
        <v>2322</v>
      </c>
      <c r="B76" s="916" t="s">
        <v>2322</v>
      </c>
      <c r="C76" s="916" t="s">
        <v>2323</v>
      </c>
      <c r="D76" s="715">
        <v>120</v>
      </c>
    </row>
    <row r="77" spans="1:4">
      <c r="A77" s="916" t="s">
        <v>2324</v>
      </c>
      <c r="B77" s="916" t="s">
        <v>2324</v>
      </c>
      <c r="C77" s="916" t="s">
        <v>2325</v>
      </c>
      <c r="D77" s="715">
        <v>100</v>
      </c>
    </row>
    <row r="78" spans="1:4">
      <c r="A78" s="916" t="s">
        <v>2326</v>
      </c>
      <c r="B78" s="916" t="s">
        <v>2326</v>
      </c>
      <c r="C78" s="916" t="s">
        <v>2327</v>
      </c>
      <c r="D78" s="715">
        <v>160</v>
      </c>
    </row>
    <row r="79" spans="1:4">
      <c r="A79" s="916" t="s">
        <v>2328</v>
      </c>
      <c r="B79" s="916" t="s">
        <v>2328</v>
      </c>
      <c r="C79" s="916" t="s">
        <v>2329</v>
      </c>
      <c r="D79" s="715">
        <v>40</v>
      </c>
    </row>
    <row r="80" spans="1:4">
      <c r="A80" s="916" t="s">
        <v>2330</v>
      </c>
      <c r="B80" s="916" t="s">
        <v>2330</v>
      </c>
      <c r="C80" s="916" t="s">
        <v>2331</v>
      </c>
      <c r="D80" s="715">
        <v>60</v>
      </c>
    </row>
    <row r="81" spans="1:4">
      <c r="A81" s="916" t="s">
        <v>2332</v>
      </c>
      <c r="B81" s="916" t="s">
        <v>2332</v>
      </c>
      <c r="C81" s="916" t="s">
        <v>2333</v>
      </c>
      <c r="D81" s="715">
        <v>342</v>
      </c>
    </row>
    <row r="82" spans="1:4">
      <c r="A82" s="916" t="s">
        <v>2334</v>
      </c>
      <c r="B82" s="916" t="s">
        <v>2334</v>
      </c>
      <c r="C82" s="916" t="s">
        <v>2335</v>
      </c>
      <c r="D82" s="715">
        <v>285</v>
      </c>
    </row>
    <row r="83" spans="1:4">
      <c r="A83" s="916" t="s">
        <v>2336</v>
      </c>
      <c r="B83" s="916" t="s">
        <v>2336</v>
      </c>
      <c r="C83" s="916" t="s">
        <v>2337</v>
      </c>
      <c r="D83" s="715">
        <v>456</v>
      </c>
    </row>
    <row r="84" spans="1:4">
      <c r="A84" s="916" t="s">
        <v>2338</v>
      </c>
      <c r="B84" s="916" t="s">
        <v>2338</v>
      </c>
      <c r="C84" s="916" t="s">
        <v>2339</v>
      </c>
      <c r="D84" s="715">
        <v>114</v>
      </c>
    </row>
    <row r="85" spans="1:4">
      <c r="A85" s="916" t="s">
        <v>2340</v>
      </c>
      <c r="B85" s="916" t="s">
        <v>2340</v>
      </c>
      <c r="C85" s="916" t="s">
        <v>2341</v>
      </c>
      <c r="D85" s="715">
        <v>171</v>
      </c>
    </row>
    <row r="86" spans="1:4">
      <c r="A86" s="916" t="s">
        <v>2342</v>
      </c>
      <c r="B86" s="916" t="s">
        <v>2342</v>
      </c>
      <c r="C86" s="916" t="s">
        <v>2343</v>
      </c>
      <c r="D86" s="715">
        <v>540</v>
      </c>
    </row>
    <row r="87" spans="1:4">
      <c r="A87" s="916" t="s">
        <v>2344</v>
      </c>
      <c r="B87" s="916" t="s">
        <v>2344</v>
      </c>
      <c r="C87" s="916" t="s">
        <v>2345</v>
      </c>
      <c r="D87" s="715">
        <v>450</v>
      </c>
    </row>
    <row r="88" spans="1:4">
      <c r="A88" s="916" t="s">
        <v>2346</v>
      </c>
      <c r="B88" s="916" t="s">
        <v>2346</v>
      </c>
      <c r="C88" s="916" t="s">
        <v>2347</v>
      </c>
      <c r="D88" s="715">
        <v>720</v>
      </c>
    </row>
    <row r="89" spans="1:4">
      <c r="A89" s="916" t="s">
        <v>2348</v>
      </c>
      <c r="B89" s="916" t="s">
        <v>2348</v>
      </c>
      <c r="C89" s="916" t="s">
        <v>2349</v>
      </c>
      <c r="D89" s="715">
        <v>180</v>
      </c>
    </row>
    <row r="90" spans="1:4">
      <c r="A90" s="916" t="s">
        <v>2350</v>
      </c>
      <c r="B90" s="916" t="s">
        <v>2350</v>
      </c>
      <c r="C90" s="916" t="s">
        <v>2351</v>
      </c>
      <c r="D90" s="715">
        <v>270</v>
      </c>
    </row>
    <row r="91" spans="1:4">
      <c r="A91" s="916" t="s">
        <v>2352</v>
      </c>
      <c r="B91" s="916" t="s">
        <v>2352</v>
      </c>
      <c r="C91" s="916" t="s">
        <v>2353</v>
      </c>
      <c r="D91" s="715">
        <v>20</v>
      </c>
    </row>
    <row r="92" spans="1:4">
      <c r="A92" s="916" t="s">
        <v>2354</v>
      </c>
      <c r="B92" s="916" t="s">
        <v>2354</v>
      </c>
      <c r="C92" s="916" t="s">
        <v>2355</v>
      </c>
      <c r="D92" s="715">
        <v>80</v>
      </c>
    </row>
    <row r="93" spans="1:4">
      <c r="A93" s="916" t="s">
        <v>2356</v>
      </c>
      <c r="B93" s="916" t="s">
        <v>2356</v>
      </c>
      <c r="C93" s="916" t="s">
        <v>2357</v>
      </c>
      <c r="D93" s="715">
        <v>100</v>
      </c>
    </row>
    <row r="94" spans="1:4">
      <c r="A94" s="916" t="s">
        <v>2358</v>
      </c>
      <c r="B94" s="916" t="s">
        <v>2358</v>
      </c>
      <c r="C94" s="916" t="s">
        <v>2359</v>
      </c>
      <c r="D94" s="715">
        <v>57</v>
      </c>
    </row>
    <row r="95" spans="1:4">
      <c r="A95" s="916" t="s">
        <v>2360</v>
      </c>
      <c r="B95" s="916" t="s">
        <v>2360</v>
      </c>
      <c r="C95" s="916" t="s">
        <v>2361</v>
      </c>
      <c r="D95" s="715">
        <v>228</v>
      </c>
    </row>
    <row r="96" spans="1:4">
      <c r="A96" s="916" t="s">
        <v>2362</v>
      </c>
      <c r="B96" s="916" t="s">
        <v>2362</v>
      </c>
      <c r="C96" s="916" t="s">
        <v>2363</v>
      </c>
      <c r="D96" s="715">
        <v>285</v>
      </c>
    </row>
    <row r="97" spans="1:4">
      <c r="A97" s="916" t="s">
        <v>2364</v>
      </c>
      <c r="B97" s="916" t="s">
        <v>2364</v>
      </c>
      <c r="C97" s="916" t="s">
        <v>2365</v>
      </c>
      <c r="D97" s="715">
        <v>90</v>
      </c>
    </row>
    <row r="98" spans="1:4">
      <c r="A98" s="916" t="s">
        <v>2366</v>
      </c>
      <c r="B98" s="916" t="s">
        <v>2366</v>
      </c>
      <c r="C98" s="916" t="s">
        <v>2367</v>
      </c>
      <c r="D98" s="715">
        <v>360</v>
      </c>
    </row>
    <row r="99" spans="1:4">
      <c r="A99" s="916" t="s">
        <v>2368</v>
      </c>
      <c r="B99" s="916" t="s">
        <v>2368</v>
      </c>
      <c r="C99" s="916" t="s">
        <v>2369</v>
      </c>
      <c r="D99" s="715">
        <v>450</v>
      </c>
    </row>
    <row r="100" spans="1:4">
      <c r="A100" s="916" t="s">
        <v>2370</v>
      </c>
      <c r="B100" s="916" t="s">
        <v>2370</v>
      </c>
      <c r="C100" s="916" t="s">
        <v>2371</v>
      </c>
      <c r="D100" s="715">
        <v>450</v>
      </c>
    </row>
    <row r="101" spans="1:4">
      <c r="A101" s="916" t="s">
        <v>2372</v>
      </c>
      <c r="B101" s="916" t="s">
        <v>2372</v>
      </c>
      <c r="C101" s="916" t="s">
        <v>2373</v>
      </c>
      <c r="D101" s="715">
        <v>1278</v>
      </c>
    </row>
    <row r="102" spans="1:4">
      <c r="A102" s="916" t="s">
        <v>2374</v>
      </c>
      <c r="B102" s="916" t="s">
        <v>2374</v>
      </c>
      <c r="C102" s="916" t="s">
        <v>2375</v>
      </c>
      <c r="D102" s="715">
        <v>2030</v>
      </c>
    </row>
    <row r="103" spans="1:4">
      <c r="A103" s="916" t="s">
        <v>2376</v>
      </c>
      <c r="B103" s="916" t="s">
        <v>2376</v>
      </c>
      <c r="C103" s="916" t="s">
        <v>2377</v>
      </c>
      <c r="D103" s="715">
        <v>200</v>
      </c>
    </row>
    <row r="104" spans="1:4">
      <c r="A104" s="916" t="s">
        <v>2378</v>
      </c>
      <c r="B104" s="916" t="s">
        <v>2378</v>
      </c>
      <c r="C104" s="916" t="s">
        <v>2379</v>
      </c>
      <c r="D104" s="715">
        <v>570</v>
      </c>
    </row>
    <row r="105" spans="1:4">
      <c r="A105" s="916" t="s">
        <v>2380</v>
      </c>
      <c r="B105" s="916" t="s">
        <v>2380</v>
      </c>
      <c r="C105" s="916" t="s">
        <v>2381</v>
      </c>
      <c r="D105" s="715">
        <v>900</v>
      </c>
    </row>
    <row r="106" spans="1:4">
      <c r="A106" s="916" t="s">
        <v>2382</v>
      </c>
      <c r="B106" s="916" t="s">
        <v>2382</v>
      </c>
      <c r="C106" s="916" t="s">
        <v>2383</v>
      </c>
      <c r="D106" s="715">
        <v>679</v>
      </c>
    </row>
    <row r="107" spans="1:4">
      <c r="A107" s="916" t="s">
        <v>2384</v>
      </c>
      <c r="B107" s="916" t="s">
        <v>2384</v>
      </c>
      <c r="C107" s="916" t="s">
        <v>2385</v>
      </c>
      <c r="D107" s="715">
        <v>1935</v>
      </c>
    </row>
    <row r="108" spans="1:4">
      <c r="A108" s="916" t="s">
        <v>2386</v>
      </c>
      <c r="B108" s="916" t="s">
        <v>2386</v>
      </c>
      <c r="C108" s="916" t="s">
        <v>2387</v>
      </c>
      <c r="D108" s="715">
        <v>3056</v>
      </c>
    </row>
    <row r="109" spans="1:4">
      <c r="A109" s="916" t="s">
        <v>2388</v>
      </c>
      <c r="B109" s="916" t="s">
        <v>2388</v>
      </c>
      <c r="C109" s="916" t="s">
        <v>2389</v>
      </c>
      <c r="D109" s="715">
        <v>80</v>
      </c>
    </row>
    <row r="110" spans="1:4">
      <c r="A110" s="916" t="s">
        <v>2390</v>
      </c>
      <c r="B110" s="916" t="s">
        <v>2390</v>
      </c>
      <c r="C110" s="916" t="s">
        <v>2391</v>
      </c>
      <c r="D110" s="715">
        <v>228</v>
      </c>
    </row>
    <row r="111" spans="1:4">
      <c r="A111" s="916" t="s">
        <v>2392</v>
      </c>
      <c r="B111" s="916" t="s">
        <v>2392</v>
      </c>
      <c r="C111" s="916" t="s">
        <v>2393</v>
      </c>
      <c r="D111" s="715">
        <v>360</v>
      </c>
    </row>
    <row r="112" spans="1:4">
      <c r="A112" s="916" t="s">
        <v>2394</v>
      </c>
      <c r="B112" s="916" t="s">
        <v>2394</v>
      </c>
      <c r="C112" s="916" t="s">
        <v>2395</v>
      </c>
      <c r="D112" s="715">
        <v>80</v>
      </c>
    </row>
    <row r="113" spans="1:4">
      <c r="A113" s="916" t="s">
        <v>2396</v>
      </c>
      <c r="B113" s="916" t="s">
        <v>2396</v>
      </c>
      <c r="C113" s="916" t="s">
        <v>2397</v>
      </c>
      <c r="D113" s="715">
        <v>228</v>
      </c>
    </row>
    <row r="114" spans="1:4">
      <c r="A114" s="916" t="s">
        <v>2398</v>
      </c>
      <c r="B114" s="916" t="s">
        <v>2398</v>
      </c>
      <c r="C114" s="916" t="s">
        <v>2399</v>
      </c>
      <c r="D114" s="715">
        <v>360</v>
      </c>
    </row>
    <row r="115" spans="1:4">
      <c r="A115" s="916" t="s">
        <v>2400</v>
      </c>
      <c r="B115" s="916" t="s">
        <v>2400</v>
      </c>
      <c r="C115" s="916" t="s">
        <v>2401</v>
      </c>
      <c r="D115" s="715">
        <v>200</v>
      </c>
    </row>
    <row r="116" spans="1:4">
      <c r="A116" s="916" t="s">
        <v>2402</v>
      </c>
      <c r="B116" s="916" t="s">
        <v>2402</v>
      </c>
      <c r="C116" s="916" t="s">
        <v>2403</v>
      </c>
      <c r="D116" s="715">
        <v>570</v>
      </c>
    </row>
    <row r="117" spans="1:4">
      <c r="A117" s="916" t="s">
        <v>2404</v>
      </c>
      <c r="B117" s="916" t="s">
        <v>2404</v>
      </c>
      <c r="C117" s="916" t="s">
        <v>2405</v>
      </c>
      <c r="D117" s="715">
        <v>900</v>
      </c>
    </row>
    <row r="118" spans="1:4">
      <c r="A118" s="916" t="s">
        <v>2406</v>
      </c>
      <c r="B118" s="916" t="s">
        <v>2406</v>
      </c>
      <c r="C118" s="916" t="s">
        <v>2407</v>
      </c>
      <c r="D118" s="715">
        <v>195</v>
      </c>
    </row>
    <row r="119" spans="1:4">
      <c r="A119" s="916" t="s">
        <v>2408</v>
      </c>
      <c r="B119" s="916" t="s">
        <v>2408</v>
      </c>
      <c r="C119" s="916" t="s">
        <v>2409</v>
      </c>
      <c r="D119" s="715">
        <v>550</v>
      </c>
    </row>
    <row r="120" spans="1:4">
      <c r="A120" s="916" t="s">
        <v>2410</v>
      </c>
      <c r="B120" s="916" t="s">
        <v>2410</v>
      </c>
      <c r="C120" s="916" t="s">
        <v>2411</v>
      </c>
      <c r="D120" s="715">
        <v>865</v>
      </c>
    </row>
    <row r="121" spans="1:4">
      <c r="A121" s="916" t="s">
        <v>2412</v>
      </c>
      <c r="B121" s="916" t="s">
        <v>2412</v>
      </c>
      <c r="C121" s="916" t="s">
        <v>2413</v>
      </c>
      <c r="D121" s="715">
        <v>359</v>
      </c>
    </row>
    <row r="122" spans="1:4">
      <c r="A122" s="916" t="s">
        <v>2414</v>
      </c>
      <c r="B122" s="916" t="s">
        <v>2414</v>
      </c>
      <c r="C122" s="916" t="s">
        <v>2415</v>
      </c>
      <c r="D122" s="715">
        <v>1023</v>
      </c>
    </row>
    <row r="123" spans="1:4">
      <c r="A123" s="916" t="s">
        <v>2416</v>
      </c>
      <c r="B123" s="916" t="s">
        <v>2416</v>
      </c>
      <c r="C123" s="916" t="s">
        <v>2417</v>
      </c>
      <c r="D123" s="715">
        <v>1615</v>
      </c>
    </row>
    <row r="124" spans="1:4">
      <c r="A124" s="916" t="s">
        <v>2418</v>
      </c>
      <c r="B124" s="916" t="s">
        <v>2418</v>
      </c>
      <c r="C124" s="916" t="s">
        <v>2419</v>
      </c>
      <c r="D124" s="715">
        <v>50</v>
      </c>
    </row>
    <row r="125" spans="1:4">
      <c r="A125" s="916" t="s">
        <v>2420</v>
      </c>
      <c r="B125" s="916" t="s">
        <v>2420</v>
      </c>
      <c r="C125" s="916" t="s">
        <v>2421</v>
      </c>
      <c r="D125" s="715">
        <v>142.5</v>
      </c>
    </row>
    <row r="126" spans="1:4">
      <c r="A126" s="916" t="s">
        <v>2422</v>
      </c>
      <c r="B126" s="916" t="s">
        <v>2422</v>
      </c>
      <c r="C126" s="916" t="s">
        <v>2423</v>
      </c>
      <c r="D126" s="715">
        <v>225</v>
      </c>
    </row>
    <row r="127" spans="1:4">
      <c r="A127" s="916" t="s">
        <v>2424</v>
      </c>
      <c r="B127" s="916" t="s">
        <v>2424</v>
      </c>
      <c r="C127" s="916" t="s">
        <v>2425</v>
      </c>
      <c r="D127" s="715">
        <v>119</v>
      </c>
    </row>
    <row r="128" spans="1:4">
      <c r="A128" s="916" t="s">
        <v>2426</v>
      </c>
      <c r="B128" s="916" t="s">
        <v>2426</v>
      </c>
      <c r="C128" s="916" t="s">
        <v>2427</v>
      </c>
      <c r="D128" s="715">
        <v>356.25</v>
      </c>
    </row>
    <row r="129" spans="1:4">
      <c r="A129" s="916" t="s">
        <v>2428</v>
      </c>
      <c r="B129" s="916" t="s">
        <v>2428</v>
      </c>
      <c r="C129" s="916" t="s">
        <v>2429</v>
      </c>
      <c r="D129" s="715">
        <v>562.5</v>
      </c>
    </row>
    <row r="130" spans="1:4">
      <c r="A130" s="916" t="s">
        <v>2430</v>
      </c>
      <c r="B130" s="916" t="s">
        <v>2430</v>
      </c>
      <c r="C130" s="916" t="s">
        <v>2431</v>
      </c>
      <c r="D130" s="715">
        <v>239</v>
      </c>
    </row>
    <row r="131" spans="1:4">
      <c r="A131" s="916" t="s">
        <v>2432</v>
      </c>
      <c r="B131" s="916" t="s">
        <v>2432</v>
      </c>
      <c r="C131" s="916" t="s">
        <v>2433</v>
      </c>
      <c r="D131" s="715">
        <v>681</v>
      </c>
    </row>
    <row r="132" spans="1:4">
      <c r="A132" s="916" t="s">
        <v>2434</v>
      </c>
      <c r="B132" s="916" t="s">
        <v>2434</v>
      </c>
      <c r="C132" s="916" t="s">
        <v>2435</v>
      </c>
      <c r="D132" s="715">
        <v>1075.5</v>
      </c>
    </row>
    <row r="133" spans="1:4">
      <c r="A133" s="916" t="s">
        <v>2436</v>
      </c>
      <c r="B133" s="916" t="s">
        <v>2436</v>
      </c>
      <c r="C133" s="916" t="s">
        <v>2437</v>
      </c>
      <c r="D133" s="715">
        <v>439</v>
      </c>
    </row>
    <row r="134" spans="1:4">
      <c r="A134" s="916" t="s">
        <v>2438</v>
      </c>
      <c r="B134" s="916" t="s">
        <v>2438</v>
      </c>
      <c r="C134" s="916" t="s">
        <v>2439</v>
      </c>
      <c r="D134" s="715">
        <v>1251</v>
      </c>
    </row>
    <row r="135" spans="1:4">
      <c r="A135" s="916" t="s">
        <v>2440</v>
      </c>
      <c r="B135" s="916" t="s">
        <v>2440</v>
      </c>
      <c r="C135" s="916" t="s">
        <v>2441</v>
      </c>
      <c r="D135" s="715">
        <v>1975.5</v>
      </c>
    </row>
    <row r="136" spans="1:4">
      <c r="A136" s="916" t="s">
        <v>2442</v>
      </c>
      <c r="B136" s="916" t="s">
        <v>2442</v>
      </c>
      <c r="C136" s="916" t="s">
        <v>2443</v>
      </c>
      <c r="D136" s="715">
        <v>899</v>
      </c>
    </row>
    <row r="137" spans="1:4">
      <c r="A137" s="916" t="s">
        <v>2444</v>
      </c>
      <c r="B137" s="916" t="s">
        <v>2444</v>
      </c>
      <c r="C137" s="916" t="s">
        <v>2445</v>
      </c>
      <c r="D137" s="715">
        <v>2562</v>
      </c>
    </row>
    <row r="138" spans="1:4">
      <c r="A138" s="916" t="s">
        <v>2446</v>
      </c>
      <c r="B138" s="916" t="s">
        <v>2446</v>
      </c>
      <c r="C138" s="916" t="s">
        <v>2447</v>
      </c>
      <c r="D138" s="715">
        <v>4045.5</v>
      </c>
    </row>
    <row r="139" spans="1:4">
      <c r="A139" s="916" t="s">
        <v>2448</v>
      </c>
      <c r="B139" s="916" t="s">
        <v>2448</v>
      </c>
      <c r="C139" s="916" t="s">
        <v>2449</v>
      </c>
      <c r="D139" s="715">
        <v>1499</v>
      </c>
    </row>
    <row r="140" spans="1:4">
      <c r="A140" s="916" t="s">
        <v>2450</v>
      </c>
      <c r="B140" s="916" t="s">
        <v>2450</v>
      </c>
      <c r="C140" s="916" t="s">
        <v>2451</v>
      </c>
      <c r="D140" s="715">
        <v>4272</v>
      </c>
    </row>
    <row r="141" spans="1:4">
      <c r="A141" s="916" t="s">
        <v>2452</v>
      </c>
      <c r="B141" s="916" t="s">
        <v>2452</v>
      </c>
      <c r="C141" s="916" t="s">
        <v>2453</v>
      </c>
      <c r="D141" s="715">
        <v>6745</v>
      </c>
    </row>
    <row r="142" spans="1:4">
      <c r="A142" s="916" t="s">
        <v>2454</v>
      </c>
      <c r="B142" s="916" t="s">
        <v>2454</v>
      </c>
      <c r="C142" s="916" t="s">
        <v>2455</v>
      </c>
      <c r="D142" s="715">
        <v>1599</v>
      </c>
    </row>
    <row r="143" spans="1:4">
      <c r="A143" s="916" t="s">
        <v>2456</v>
      </c>
      <c r="B143" s="916" t="s">
        <v>2456</v>
      </c>
      <c r="C143" s="916" t="s">
        <v>2457</v>
      </c>
      <c r="D143" s="715">
        <v>4557</v>
      </c>
    </row>
    <row r="144" spans="1:4">
      <c r="A144" s="916" t="s">
        <v>2458</v>
      </c>
      <c r="B144" s="916" t="s">
        <v>2458</v>
      </c>
      <c r="C144" s="916" t="s">
        <v>2459</v>
      </c>
      <c r="D144" s="715">
        <v>7195</v>
      </c>
    </row>
    <row r="145" spans="1:4">
      <c r="A145" s="916" t="s">
        <v>2460</v>
      </c>
      <c r="B145" s="916" t="s">
        <v>2460</v>
      </c>
      <c r="C145" s="916" t="s">
        <v>2461</v>
      </c>
      <c r="D145" s="715">
        <v>20</v>
      </c>
    </row>
    <row r="146" spans="1:4">
      <c r="A146" s="916" t="s">
        <v>2462</v>
      </c>
      <c r="B146" s="916" t="s">
        <v>2462</v>
      </c>
      <c r="C146" s="916" t="s">
        <v>2463</v>
      </c>
      <c r="D146" s="715">
        <v>57</v>
      </c>
    </row>
    <row r="147" spans="1:4">
      <c r="A147" s="916" t="s">
        <v>2464</v>
      </c>
      <c r="B147" s="916" t="s">
        <v>2464</v>
      </c>
      <c r="C147" s="916" t="s">
        <v>2465</v>
      </c>
      <c r="D147" s="715">
        <v>90</v>
      </c>
    </row>
    <row r="148" spans="1:4">
      <c r="A148" s="916" t="s">
        <v>2466</v>
      </c>
      <c r="B148" s="916" t="s">
        <v>2466</v>
      </c>
      <c r="C148" s="916" t="s">
        <v>2467</v>
      </c>
      <c r="D148" s="715">
        <v>120</v>
      </c>
    </row>
    <row r="149" spans="1:4">
      <c r="A149" s="916" t="s">
        <v>2468</v>
      </c>
      <c r="B149" s="916" t="s">
        <v>2468</v>
      </c>
      <c r="C149" s="916" t="s">
        <v>2469</v>
      </c>
      <c r="D149" s="715">
        <v>342</v>
      </c>
    </row>
    <row r="150" spans="1:4">
      <c r="A150" s="916" t="s">
        <v>2470</v>
      </c>
      <c r="B150" s="916" t="s">
        <v>2470</v>
      </c>
      <c r="C150" s="916" t="s">
        <v>2471</v>
      </c>
      <c r="D150" s="715">
        <v>570</v>
      </c>
    </row>
    <row r="151" spans="1:4">
      <c r="A151" s="916" t="s">
        <v>2472</v>
      </c>
      <c r="B151" s="916" t="s">
        <v>2472</v>
      </c>
      <c r="C151" s="916" t="s">
        <v>2473</v>
      </c>
      <c r="D151" s="715">
        <v>120</v>
      </c>
    </row>
    <row r="152" spans="1:4">
      <c r="A152" s="916" t="s">
        <v>2474</v>
      </c>
      <c r="B152" s="916" t="s">
        <v>2474</v>
      </c>
      <c r="C152" s="916" t="s">
        <v>2475</v>
      </c>
      <c r="D152" s="715">
        <v>342</v>
      </c>
    </row>
    <row r="153" spans="1:4">
      <c r="A153" s="916" t="s">
        <v>2476</v>
      </c>
      <c r="B153" s="916" t="s">
        <v>2476</v>
      </c>
      <c r="C153" s="916" t="s">
        <v>2477</v>
      </c>
      <c r="D153" s="715">
        <v>570</v>
      </c>
    </row>
    <row r="154" spans="1:4">
      <c r="A154" s="916" t="s">
        <v>2478</v>
      </c>
      <c r="B154" s="916" t="s">
        <v>2478</v>
      </c>
      <c r="C154" s="916" t="s">
        <v>2479</v>
      </c>
      <c r="D154" s="715">
        <v>1080</v>
      </c>
    </row>
    <row r="155" spans="1:4">
      <c r="A155" s="916" t="s">
        <v>2480</v>
      </c>
      <c r="B155" s="916" t="s">
        <v>2480</v>
      </c>
      <c r="C155" s="916" t="s">
        <v>2481</v>
      </c>
      <c r="D155" s="715">
        <v>3078</v>
      </c>
    </row>
    <row r="156" spans="1:4">
      <c r="A156" s="916" t="s">
        <v>2482</v>
      </c>
      <c r="B156" s="916" t="s">
        <v>2482</v>
      </c>
      <c r="C156" s="916" t="s">
        <v>2483</v>
      </c>
      <c r="D156" s="715">
        <v>5130</v>
      </c>
    </row>
    <row r="157" spans="1:4">
      <c r="A157" s="916" t="s">
        <v>2484</v>
      </c>
      <c r="B157" s="916" t="s">
        <v>2484</v>
      </c>
      <c r="C157" s="916" t="s">
        <v>2485</v>
      </c>
      <c r="D157" s="715">
        <v>1080</v>
      </c>
    </row>
    <row r="158" spans="1:4">
      <c r="A158" s="916" t="s">
        <v>2486</v>
      </c>
      <c r="B158" s="916" t="s">
        <v>2486</v>
      </c>
      <c r="C158" s="916" t="s">
        <v>2487</v>
      </c>
      <c r="D158" s="715">
        <v>3078</v>
      </c>
    </row>
    <row r="159" spans="1:4">
      <c r="A159" s="916" t="s">
        <v>2488</v>
      </c>
      <c r="B159" s="916" t="s">
        <v>2488</v>
      </c>
      <c r="C159" s="916" t="s">
        <v>2489</v>
      </c>
      <c r="D159" s="715">
        <v>5130</v>
      </c>
    </row>
    <row r="160" spans="1:4">
      <c r="A160" s="916" t="s">
        <v>2490</v>
      </c>
      <c r="B160" s="916" t="s">
        <v>2490</v>
      </c>
      <c r="C160" s="916" t="s">
        <v>2491</v>
      </c>
      <c r="D160" s="715">
        <v>120</v>
      </c>
    </row>
    <row r="161" spans="1:4">
      <c r="A161" s="916" t="s">
        <v>2492</v>
      </c>
      <c r="B161" s="916" t="s">
        <v>2492</v>
      </c>
      <c r="C161" s="916" t="s">
        <v>2493</v>
      </c>
      <c r="D161" s="715">
        <v>342</v>
      </c>
    </row>
    <row r="162" spans="1:4">
      <c r="A162" s="916" t="s">
        <v>2494</v>
      </c>
      <c r="B162" s="916" t="s">
        <v>2494</v>
      </c>
      <c r="C162" s="916" t="s">
        <v>2495</v>
      </c>
      <c r="D162" s="715">
        <v>540</v>
      </c>
    </row>
    <row r="163" spans="1:4">
      <c r="A163" s="916" t="s">
        <v>2496</v>
      </c>
      <c r="B163" s="916" t="s">
        <v>2496</v>
      </c>
      <c r="C163" s="916" t="s">
        <v>2497</v>
      </c>
      <c r="D163" s="715">
        <v>120</v>
      </c>
    </row>
    <row r="164" spans="1:4">
      <c r="A164" s="916" t="s">
        <v>2498</v>
      </c>
      <c r="B164" s="916" t="s">
        <v>2498</v>
      </c>
      <c r="C164" s="916" t="s">
        <v>2499</v>
      </c>
      <c r="D164" s="715">
        <v>342</v>
      </c>
    </row>
    <row r="165" spans="1:4">
      <c r="A165" s="916" t="s">
        <v>2500</v>
      </c>
      <c r="B165" s="916" t="s">
        <v>2500</v>
      </c>
      <c r="C165" s="916" t="s">
        <v>2501</v>
      </c>
      <c r="D165" s="715">
        <v>540</v>
      </c>
    </row>
    <row r="166" spans="1:4">
      <c r="A166" s="916" t="s">
        <v>2502</v>
      </c>
      <c r="B166" s="916" t="s">
        <v>2502</v>
      </c>
      <c r="C166" s="916" t="s">
        <v>2503</v>
      </c>
      <c r="D166" s="715">
        <v>100</v>
      </c>
    </row>
    <row r="167" spans="1:4">
      <c r="A167" s="916" t="s">
        <v>2504</v>
      </c>
      <c r="B167" s="916" t="s">
        <v>2504</v>
      </c>
      <c r="C167" s="916" t="s">
        <v>2505</v>
      </c>
      <c r="D167" s="715">
        <v>285</v>
      </c>
    </row>
    <row r="168" spans="1:4">
      <c r="A168" s="916" t="s">
        <v>2506</v>
      </c>
      <c r="B168" s="916" t="s">
        <v>2506</v>
      </c>
      <c r="C168" s="916" t="s">
        <v>2507</v>
      </c>
      <c r="D168" s="715">
        <v>450</v>
      </c>
    </row>
    <row r="169" spans="1:4">
      <c r="A169" s="916" t="s">
        <v>2508</v>
      </c>
      <c r="B169" s="916" t="s">
        <v>2509</v>
      </c>
      <c r="C169" s="916" t="s">
        <v>2510</v>
      </c>
      <c r="D169" s="715">
        <v>80</v>
      </c>
    </row>
    <row r="170" spans="1:4">
      <c r="A170" s="916" t="s">
        <v>2511</v>
      </c>
      <c r="B170" s="916" t="s">
        <v>2512</v>
      </c>
      <c r="C170" s="916" t="s">
        <v>2513</v>
      </c>
      <c r="D170" s="715">
        <v>228</v>
      </c>
    </row>
    <row r="171" spans="1:4">
      <c r="A171" s="916" t="s">
        <v>2514</v>
      </c>
      <c r="B171" s="916" t="s">
        <v>2515</v>
      </c>
      <c r="C171" s="916" t="s">
        <v>2516</v>
      </c>
      <c r="D171" s="715">
        <v>360</v>
      </c>
    </row>
    <row r="172" spans="1:4">
      <c r="A172" s="916" t="s">
        <v>2517</v>
      </c>
      <c r="B172" s="916" t="s">
        <v>2518</v>
      </c>
      <c r="C172" s="916" t="s">
        <v>2519</v>
      </c>
      <c r="D172" s="715">
        <v>200</v>
      </c>
    </row>
    <row r="173" spans="1:4">
      <c r="A173" s="916" t="s">
        <v>2520</v>
      </c>
      <c r="B173" s="916" t="s">
        <v>2521</v>
      </c>
      <c r="C173" s="916" t="s">
        <v>2522</v>
      </c>
      <c r="D173" s="715">
        <v>570</v>
      </c>
    </row>
    <row r="174" spans="1:4">
      <c r="A174" s="916" t="s">
        <v>2523</v>
      </c>
      <c r="B174" s="916" t="s">
        <v>2524</v>
      </c>
      <c r="C174" s="916" t="s">
        <v>2525</v>
      </c>
      <c r="D174" s="715">
        <v>900</v>
      </c>
    </row>
    <row r="175" spans="1:4">
      <c r="A175" s="916" t="s">
        <v>2526</v>
      </c>
      <c r="B175" s="916" t="s">
        <v>2527</v>
      </c>
      <c r="C175" s="916" t="s">
        <v>2528</v>
      </c>
      <c r="D175" s="715">
        <v>160</v>
      </c>
    </row>
    <row r="176" spans="1:4">
      <c r="A176" s="916" t="s">
        <v>2529</v>
      </c>
      <c r="B176" s="916" t="s">
        <v>2530</v>
      </c>
      <c r="C176" s="916" t="s">
        <v>2531</v>
      </c>
      <c r="D176" s="715">
        <v>456</v>
      </c>
    </row>
    <row r="177" spans="1:4">
      <c r="A177" s="916" t="s">
        <v>2532</v>
      </c>
      <c r="B177" s="916" t="s">
        <v>2533</v>
      </c>
      <c r="C177" s="916" t="s">
        <v>2534</v>
      </c>
      <c r="D177" s="715">
        <v>720</v>
      </c>
    </row>
    <row r="178" spans="1:4">
      <c r="A178" s="916" t="s">
        <v>2535</v>
      </c>
      <c r="B178" s="916" t="s">
        <v>2536</v>
      </c>
      <c r="C178" s="916" t="s">
        <v>2537</v>
      </c>
      <c r="D178" s="715">
        <v>193</v>
      </c>
    </row>
    <row r="179" spans="1:4">
      <c r="A179" s="916" t="s">
        <v>2538</v>
      </c>
      <c r="B179" s="916" t="s">
        <v>2539</v>
      </c>
      <c r="C179" s="916" t="s">
        <v>2540</v>
      </c>
      <c r="D179" s="715">
        <v>550.04999999999995</v>
      </c>
    </row>
    <row r="180" spans="1:4">
      <c r="A180" s="916" t="s">
        <v>2541</v>
      </c>
      <c r="B180" s="916" t="s">
        <v>2542</v>
      </c>
      <c r="C180" s="916" t="s">
        <v>2543</v>
      </c>
      <c r="D180" s="715">
        <v>868.5</v>
      </c>
    </row>
    <row r="181" spans="1:4">
      <c r="A181" s="916" t="s">
        <v>2544</v>
      </c>
      <c r="B181" s="916" t="s">
        <v>2545</v>
      </c>
      <c r="C181" s="916" t="s">
        <v>2546</v>
      </c>
      <c r="D181" s="715">
        <v>336</v>
      </c>
    </row>
    <row r="182" spans="1:4">
      <c r="A182" s="916" t="s">
        <v>2547</v>
      </c>
      <c r="B182" s="916" t="s">
        <v>2548</v>
      </c>
      <c r="C182" s="916" t="s">
        <v>2549</v>
      </c>
      <c r="D182" s="715">
        <v>957.6</v>
      </c>
    </row>
    <row r="183" spans="1:4">
      <c r="A183" s="916" t="s">
        <v>2550</v>
      </c>
      <c r="B183" s="916" t="s">
        <v>2551</v>
      </c>
      <c r="C183" s="916" t="s">
        <v>2552</v>
      </c>
      <c r="D183" s="715">
        <v>1512</v>
      </c>
    </row>
    <row r="184" spans="1:4">
      <c r="A184" s="916" t="s">
        <v>2553</v>
      </c>
      <c r="B184" s="916" t="s">
        <v>2554</v>
      </c>
      <c r="C184" s="916" t="s">
        <v>2555</v>
      </c>
      <c r="D184" s="715">
        <v>836.4</v>
      </c>
    </row>
    <row r="185" spans="1:4">
      <c r="A185" s="916" t="s">
        <v>2556</v>
      </c>
      <c r="B185" s="916" t="s">
        <v>2557</v>
      </c>
      <c r="C185" s="916" t="s">
        <v>2558</v>
      </c>
      <c r="D185" s="715">
        <v>2383.7399999999998</v>
      </c>
    </row>
    <row r="186" spans="1:4">
      <c r="A186" s="916" t="s">
        <v>2559</v>
      </c>
      <c r="B186" s="916" t="s">
        <v>2560</v>
      </c>
      <c r="C186" s="916" t="s">
        <v>2561</v>
      </c>
      <c r="D186" s="715">
        <v>3763.8</v>
      </c>
    </row>
    <row r="187" spans="1:4">
      <c r="A187" s="916" t="s">
        <v>2562</v>
      </c>
      <c r="B187" s="916" t="s">
        <v>2563</v>
      </c>
      <c r="C187" s="916" t="s">
        <v>2564</v>
      </c>
      <c r="D187" s="715">
        <v>1591.6</v>
      </c>
    </row>
    <row r="188" spans="1:4">
      <c r="A188" s="916" t="s">
        <v>2565</v>
      </c>
      <c r="B188" s="916" t="s">
        <v>2566</v>
      </c>
      <c r="C188" s="916" t="s">
        <v>2567</v>
      </c>
      <c r="D188" s="715">
        <v>4536.0600000000004</v>
      </c>
    </row>
    <row r="189" spans="1:4">
      <c r="A189" s="916" t="s">
        <v>2568</v>
      </c>
      <c r="B189" s="916" t="s">
        <v>2569</v>
      </c>
      <c r="C189" s="916" t="s">
        <v>2570</v>
      </c>
      <c r="D189" s="715">
        <v>7162.2</v>
      </c>
    </row>
    <row r="190" spans="1:4">
      <c r="A190" s="916" t="s">
        <v>2571</v>
      </c>
      <c r="B190" s="916" t="s">
        <v>2572</v>
      </c>
      <c r="C190" s="916" t="s">
        <v>2573</v>
      </c>
      <c r="D190" s="715">
        <v>2993.6</v>
      </c>
    </row>
    <row r="191" spans="1:4">
      <c r="A191" s="916" t="s">
        <v>2574</v>
      </c>
      <c r="B191" s="916" t="s">
        <v>2575</v>
      </c>
      <c r="C191" s="916" t="s">
        <v>2576</v>
      </c>
      <c r="D191" s="715">
        <v>8531.76</v>
      </c>
    </row>
    <row r="192" spans="1:4">
      <c r="A192" s="916" t="s">
        <v>2577</v>
      </c>
      <c r="B192" s="916" t="s">
        <v>2578</v>
      </c>
      <c r="C192" s="916" t="s">
        <v>2579</v>
      </c>
      <c r="D192" s="715">
        <v>13471.2</v>
      </c>
    </row>
    <row r="193" spans="1:4">
      <c r="A193" s="916" t="s">
        <v>2580</v>
      </c>
      <c r="B193" s="916" t="s">
        <v>2581</v>
      </c>
      <c r="C193" s="916" t="s">
        <v>2582</v>
      </c>
      <c r="D193" s="715">
        <v>14008</v>
      </c>
    </row>
    <row r="194" spans="1:4">
      <c r="A194" s="916" t="s">
        <v>2583</v>
      </c>
      <c r="B194" s="916" t="s">
        <v>2584</v>
      </c>
      <c r="C194" s="916" t="s">
        <v>2585</v>
      </c>
      <c r="D194" s="715">
        <v>39922.800000000003</v>
      </c>
    </row>
    <row r="195" spans="1:4">
      <c r="A195" s="916" t="s">
        <v>2586</v>
      </c>
      <c r="B195" s="916" t="s">
        <v>2587</v>
      </c>
      <c r="C195" s="916" t="s">
        <v>2588</v>
      </c>
      <c r="D195" s="715">
        <v>63036</v>
      </c>
    </row>
    <row r="196" spans="1:4">
      <c r="A196" s="916" t="s">
        <v>2589</v>
      </c>
      <c r="B196" s="916" t="s">
        <v>2590</v>
      </c>
      <c r="C196" s="916" t="s">
        <v>2591</v>
      </c>
      <c r="D196" s="715">
        <v>0</v>
      </c>
    </row>
    <row r="197" spans="1:4">
      <c r="A197" s="916" t="s">
        <v>2592</v>
      </c>
      <c r="B197" s="916" t="s">
        <v>2593</v>
      </c>
      <c r="C197" s="916" t="s">
        <v>2594</v>
      </c>
      <c r="D197" s="715">
        <v>0</v>
      </c>
    </row>
    <row r="198" spans="1:4">
      <c r="A198" s="916" t="s">
        <v>2595</v>
      </c>
      <c r="B198" s="916" t="s">
        <v>2596</v>
      </c>
      <c r="C198" s="916" t="s">
        <v>2597</v>
      </c>
      <c r="D198" s="715">
        <v>0</v>
      </c>
    </row>
    <row r="199" spans="1:4">
      <c r="A199" s="916" t="s">
        <v>2598</v>
      </c>
      <c r="B199" s="916" t="s">
        <v>2598</v>
      </c>
      <c r="C199" s="916" t="s">
        <v>2599</v>
      </c>
      <c r="D199" s="715">
        <v>40</v>
      </c>
    </row>
    <row r="200" spans="1:4">
      <c r="A200" s="916" t="s">
        <v>2600</v>
      </c>
      <c r="B200" s="916" t="s">
        <v>2600</v>
      </c>
      <c r="C200" s="916" t="s">
        <v>2601</v>
      </c>
      <c r="D200" s="715">
        <v>114</v>
      </c>
    </row>
    <row r="201" spans="1:4">
      <c r="A201" s="916" t="s">
        <v>2602</v>
      </c>
      <c r="B201" s="916" t="s">
        <v>2602</v>
      </c>
      <c r="C201" s="916" t="s">
        <v>2603</v>
      </c>
      <c r="D201" s="715">
        <v>180</v>
      </c>
    </row>
    <row r="202" spans="1:4">
      <c r="A202" s="1359" t="s">
        <v>1833</v>
      </c>
      <c r="B202" s="1360"/>
      <c r="C202" s="1360"/>
      <c r="D202" s="1360"/>
    </row>
    <row r="203" spans="1:4">
      <c r="A203" s="916" t="s">
        <v>2604</v>
      </c>
      <c r="B203" s="916" t="s">
        <v>2604</v>
      </c>
      <c r="C203" s="916" t="s">
        <v>2605</v>
      </c>
      <c r="D203" s="715">
        <v>350</v>
      </c>
    </row>
    <row r="204" spans="1:4">
      <c r="A204" s="916" t="s">
        <v>2606</v>
      </c>
      <c r="B204" s="916" t="s">
        <v>2606</v>
      </c>
      <c r="C204" s="916" t="s">
        <v>2607</v>
      </c>
      <c r="D204" s="715">
        <v>800</v>
      </c>
    </row>
    <row r="205" spans="1:4">
      <c r="A205" s="630" t="s">
        <v>2072</v>
      </c>
    </row>
    <row r="206" spans="1:4">
      <c r="A206" s="1361" t="s">
        <v>2608</v>
      </c>
      <c r="B206" s="1361"/>
      <c r="C206" s="1361"/>
      <c r="D206" s="1361"/>
    </row>
    <row r="207" spans="1:4">
      <c r="A207" s="1361" t="s">
        <v>2609</v>
      </c>
      <c r="B207" s="1361"/>
      <c r="C207" s="1361"/>
      <c r="D207" s="1361"/>
    </row>
    <row r="208" spans="1:4">
      <c r="A208" s="1361" t="s">
        <v>2610</v>
      </c>
      <c r="B208" s="1361"/>
      <c r="C208" s="1361"/>
      <c r="D208" s="1361"/>
    </row>
    <row r="209" spans="1:4">
      <c r="A209" s="1361" t="s">
        <v>2611</v>
      </c>
      <c r="B209" s="1361"/>
      <c r="C209" s="1361"/>
      <c r="D209" s="1361"/>
    </row>
    <row r="210" spans="1:4">
      <c r="A210" s="1361" t="s">
        <v>2612</v>
      </c>
      <c r="B210" s="1361"/>
      <c r="C210" s="1361"/>
      <c r="D210" s="1361"/>
    </row>
    <row r="211" spans="1:4">
      <c r="A211" s="1361" t="s">
        <v>2613</v>
      </c>
      <c r="B211" s="1356"/>
      <c r="C211" s="1356"/>
      <c r="D211" s="1356"/>
    </row>
  </sheetData>
  <mergeCells count="13">
    <mergeCell ref="A75:D75"/>
    <mergeCell ref="A1:D1"/>
    <mergeCell ref="A2:D2"/>
    <mergeCell ref="A4:D4"/>
    <mergeCell ref="A12:D12"/>
    <mergeCell ref="A32:D32"/>
    <mergeCell ref="A211:D211"/>
    <mergeCell ref="A202:D202"/>
    <mergeCell ref="A206:D206"/>
    <mergeCell ref="A207:D207"/>
    <mergeCell ref="A208:D208"/>
    <mergeCell ref="A209:D209"/>
    <mergeCell ref="A210:D210"/>
  </mergeCells>
  <hyperlinks>
    <hyperlink ref="A3" r:id="rId1" xr:uid="{9F53391A-0B94-4843-8FA8-6E1BC925DF25}"/>
  </hyperlinks>
  <pageMargins left="0.7" right="0.7" top="0.75" bottom="0.75" header="0.3" footer="0.3"/>
  <pageSetup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9971D-91E6-475B-BC95-832054611306}">
  <sheetPr>
    <tabColor rgb="FFFFC000"/>
  </sheetPr>
  <dimension ref="A1:L39"/>
  <sheetViews>
    <sheetView zoomScaleNormal="100" workbookViewId="0">
      <selection activeCell="K25" sqref="K25"/>
    </sheetView>
  </sheetViews>
  <sheetFormatPr defaultColWidth="8.85546875" defaultRowHeight="12.75"/>
  <cols>
    <col min="1" max="1" width="64.42578125" style="630" bestFit="1" customWidth="1"/>
    <col min="2" max="2" width="129.85546875" style="630" customWidth="1"/>
    <col min="3" max="3" width="18.140625" style="630" customWidth="1"/>
    <col min="4" max="4" width="13.140625" style="630" customWidth="1"/>
    <col min="5" max="16384" width="8.85546875" style="630"/>
  </cols>
  <sheetData>
    <row r="1" spans="1:4" ht="30">
      <c r="A1" s="1357" t="s">
        <v>2614</v>
      </c>
      <c r="B1" s="1357"/>
      <c r="C1" s="1357"/>
      <c r="D1" s="1357"/>
    </row>
    <row r="2" spans="1:4" ht="200.1" customHeight="1">
      <c r="A2" s="1358" t="s">
        <v>2615</v>
      </c>
      <c r="B2" s="1358"/>
      <c r="C2" s="1358"/>
      <c r="D2" s="1358"/>
    </row>
    <row r="3" spans="1:4">
      <c r="A3" s="1364" t="s">
        <v>2616</v>
      </c>
      <c r="B3" s="1356"/>
      <c r="C3" s="1356"/>
      <c r="D3" s="1356"/>
    </row>
    <row r="4" spans="1:4">
      <c r="A4" s="1355" t="s">
        <v>2617</v>
      </c>
      <c r="B4" s="1356"/>
      <c r="C4" s="1356"/>
      <c r="D4" s="1356"/>
    </row>
    <row r="5" spans="1:4">
      <c r="A5" s="916" t="s">
        <v>2618</v>
      </c>
      <c r="B5" s="916" t="s">
        <v>2618</v>
      </c>
      <c r="C5" s="916" t="s">
        <v>2619</v>
      </c>
      <c r="D5" s="715">
        <v>200</v>
      </c>
    </row>
    <row r="6" spans="1:4">
      <c r="A6" s="916" t="s">
        <v>2620</v>
      </c>
      <c r="B6" s="916" t="s">
        <v>2621</v>
      </c>
      <c r="C6" s="916" t="s">
        <v>2622</v>
      </c>
      <c r="D6" s="715">
        <v>718</v>
      </c>
    </row>
    <row r="7" spans="1:4">
      <c r="A7" s="916" t="s">
        <v>2623</v>
      </c>
      <c r="B7" s="916" t="s">
        <v>2623</v>
      </c>
      <c r="C7" s="916" t="s">
        <v>2624</v>
      </c>
      <c r="D7" s="715">
        <v>135</v>
      </c>
    </row>
    <row r="8" spans="1:4">
      <c r="A8" s="916" t="s">
        <v>2625</v>
      </c>
      <c r="B8" s="916" t="s">
        <v>2625</v>
      </c>
      <c r="C8" s="916" t="s">
        <v>2626</v>
      </c>
      <c r="D8" s="715">
        <v>135</v>
      </c>
    </row>
    <row r="9" spans="1:4">
      <c r="A9" s="916" t="s">
        <v>2627</v>
      </c>
      <c r="B9" s="916" t="s">
        <v>2627</v>
      </c>
      <c r="C9" s="916" t="s">
        <v>2628</v>
      </c>
      <c r="D9" s="715">
        <v>99</v>
      </c>
    </row>
    <row r="10" spans="1:4">
      <c r="A10" s="916" t="s">
        <v>2629</v>
      </c>
      <c r="B10" s="916" t="s">
        <v>2630</v>
      </c>
      <c r="C10" s="916" t="s">
        <v>2631</v>
      </c>
      <c r="D10" s="715">
        <v>99</v>
      </c>
    </row>
    <row r="11" spans="1:4">
      <c r="A11" s="916" t="s">
        <v>2632</v>
      </c>
      <c r="B11" s="916" t="s">
        <v>2632</v>
      </c>
      <c r="C11" s="916" t="s">
        <v>2633</v>
      </c>
      <c r="D11" s="715">
        <v>135</v>
      </c>
    </row>
    <row r="12" spans="1:4">
      <c r="A12" s="916" t="s">
        <v>2634</v>
      </c>
      <c r="B12" s="916" t="s">
        <v>2634</v>
      </c>
      <c r="C12" s="916" t="s">
        <v>2635</v>
      </c>
      <c r="D12" s="715">
        <v>170</v>
      </c>
    </row>
    <row r="13" spans="1:4">
      <c r="A13" s="916" t="s">
        <v>2636</v>
      </c>
      <c r="B13" s="916" t="s">
        <v>2637</v>
      </c>
      <c r="C13" s="916" t="s">
        <v>2638</v>
      </c>
      <c r="D13" s="715">
        <v>99</v>
      </c>
    </row>
    <row r="14" spans="1:4">
      <c r="A14" s="916" t="s">
        <v>2639</v>
      </c>
      <c r="B14" s="916" t="s">
        <v>2639</v>
      </c>
      <c r="C14" s="916" t="s">
        <v>539</v>
      </c>
      <c r="D14" s="715">
        <v>150</v>
      </c>
    </row>
    <row r="15" spans="1:4">
      <c r="A15" s="916" t="s">
        <v>2640</v>
      </c>
      <c r="B15" s="916" t="s">
        <v>2641</v>
      </c>
      <c r="C15" s="916" t="s">
        <v>2642</v>
      </c>
      <c r="D15" s="715">
        <v>300</v>
      </c>
    </row>
    <row r="16" spans="1:4">
      <c r="A16" s="916" t="s">
        <v>2643</v>
      </c>
      <c r="B16" s="916" t="s">
        <v>2644</v>
      </c>
      <c r="C16" s="916" t="s">
        <v>2645</v>
      </c>
      <c r="D16" s="715">
        <v>99</v>
      </c>
    </row>
    <row r="17" spans="1:4">
      <c r="A17" s="916" t="s">
        <v>2646</v>
      </c>
      <c r="B17" s="916" t="s">
        <v>2647</v>
      </c>
      <c r="C17" s="916" t="s">
        <v>2648</v>
      </c>
      <c r="D17" s="715">
        <v>99</v>
      </c>
    </row>
    <row r="18" spans="1:4">
      <c r="A18" s="916" t="s">
        <v>2649</v>
      </c>
      <c r="B18" s="916" t="s">
        <v>2649</v>
      </c>
      <c r="C18" s="916" t="s">
        <v>2650</v>
      </c>
      <c r="D18" s="715">
        <v>99</v>
      </c>
    </row>
    <row r="19" spans="1:4">
      <c r="A19" s="916" t="s">
        <v>2651</v>
      </c>
      <c r="B19" s="916" t="s">
        <v>2651</v>
      </c>
      <c r="C19" s="916" t="s">
        <v>2652</v>
      </c>
      <c r="D19" s="715">
        <v>99</v>
      </c>
    </row>
    <row r="20" spans="1:4">
      <c r="A20" s="916" t="s">
        <v>2653</v>
      </c>
      <c r="B20" s="916" t="s">
        <v>2653</v>
      </c>
      <c r="C20" s="916" t="s">
        <v>2654</v>
      </c>
      <c r="D20" s="715">
        <v>10</v>
      </c>
    </row>
    <row r="21" spans="1:4">
      <c r="A21" s="916" t="s">
        <v>2655</v>
      </c>
      <c r="B21" s="916" t="s">
        <v>2656</v>
      </c>
      <c r="C21" s="916" t="s">
        <v>538</v>
      </c>
      <c r="D21" s="715">
        <v>79</v>
      </c>
    </row>
    <row r="22" spans="1:4">
      <c r="A22" s="916" t="s">
        <v>2657</v>
      </c>
      <c r="B22" s="916" t="s">
        <v>2658</v>
      </c>
      <c r="C22" s="916" t="s">
        <v>2659</v>
      </c>
      <c r="D22" s="715">
        <v>135</v>
      </c>
    </row>
    <row r="23" spans="1:4">
      <c r="A23" s="916" t="s">
        <v>2660</v>
      </c>
      <c r="B23" s="916" t="s">
        <v>2660</v>
      </c>
      <c r="C23" s="916" t="s">
        <v>2661</v>
      </c>
      <c r="D23" s="715">
        <v>135</v>
      </c>
    </row>
    <row r="24" spans="1:4">
      <c r="A24" s="916" t="s">
        <v>2662</v>
      </c>
      <c r="B24" s="916" t="s">
        <v>2662</v>
      </c>
      <c r="C24" s="916" t="s">
        <v>2663</v>
      </c>
      <c r="D24" s="715">
        <v>135</v>
      </c>
    </row>
    <row r="25" spans="1:4">
      <c r="A25" s="630" t="s">
        <v>2072</v>
      </c>
    </row>
    <row r="26" spans="1:4">
      <c r="A26" s="1361" t="s">
        <v>2664</v>
      </c>
      <c r="B26" s="1356"/>
      <c r="C26" s="1356"/>
      <c r="D26" s="1356"/>
    </row>
    <row r="39" spans="12:12">
      <c r="L39" s="630">
        <f>F39*0.0256</f>
        <v>0</v>
      </c>
    </row>
  </sheetData>
  <mergeCells count="5">
    <mergeCell ref="A1:D1"/>
    <mergeCell ref="A2:D2"/>
    <mergeCell ref="A3:D3"/>
    <mergeCell ref="A4:D4"/>
    <mergeCell ref="A26:D26"/>
  </mergeCells>
  <hyperlinks>
    <hyperlink ref="A3" r:id="rId1" xr:uid="{F77E3691-966B-4E6E-8518-1DA279A8650C}"/>
  </hyperlinks>
  <pageMargins left="0.7" right="0.7" top="0.75" bottom="0.75" header="0.3" footer="0.3"/>
  <pageSetup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0C21-E644-4E9D-ABE7-5D2A1C120458}">
  <sheetPr>
    <tabColor rgb="FF00002E"/>
  </sheetPr>
  <dimension ref="A1:L142"/>
  <sheetViews>
    <sheetView zoomScaleNormal="100" workbookViewId="0">
      <selection activeCell="K25" sqref="K25"/>
    </sheetView>
  </sheetViews>
  <sheetFormatPr defaultColWidth="8.85546875" defaultRowHeight="12.75"/>
  <cols>
    <col min="1" max="2" width="93.85546875" style="630" bestFit="1" customWidth="1"/>
    <col min="3" max="3" width="31" style="630" bestFit="1" customWidth="1"/>
    <col min="4" max="4" width="16" style="630" bestFit="1" customWidth="1"/>
    <col min="5" max="16384" width="8.85546875" style="630"/>
  </cols>
  <sheetData>
    <row r="1" spans="1:4" ht="30">
      <c r="A1" s="1357" t="s">
        <v>2665</v>
      </c>
      <c r="B1" s="1357"/>
      <c r="C1" s="1357"/>
      <c r="D1" s="1357"/>
    </row>
    <row r="2" spans="1:4" ht="174" customHeight="1">
      <c r="A2" s="1358" t="s">
        <v>2666</v>
      </c>
      <c r="B2" s="1358"/>
      <c r="C2" s="1358"/>
      <c r="D2" s="1358"/>
    </row>
    <row r="3" spans="1:4">
      <c r="A3" s="444" t="s">
        <v>2667</v>
      </c>
    </row>
    <row r="4" spans="1:4">
      <c r="A4" s="915" t="s">
        <v>2668</v>
      </c>
      <c r="B4" s="915" t="s">
        <v>48</v>
      </c>
      <c r="C4" s="915" t="s">
        <v>2669</v>
      </c>
      <c r="D4" s="915" t="s">
        <v>2670</v>
      </c>
    </row>
    <row r="5" spans="1:4" ht="14.25">
      <c r="A5" s="916" t="s">
        <v>2671</v>
      </c>
      <c r="B5" s="916" t="s">
        <v>2671</v>
      </c>
      <c r="C5" s="916" t="s">
        <v>2672</v>
      </c>
      <c r="D5" s="715">
        <v>0</v>
      </c>
    </row>
    <row r="6" spans="1:4">
      <c r="A6" s="630" t="s">
        <v>2072</v>
      </c>
    </row>
    <row r="7" spans="1:4">
      <c r="A7" s="1355" t="s">
        <v>2673</v>
      </c>
      <c r="B7" s="1356"/>
      <c r="C7" s="1356"/>
      <c r="D7" s="1356"/>
    </row>
    <row r="8" spans="1:4">
      <c r="A8" s="916" t="s">
        <v>2674</v>
      </c>
      <c r="B8" s="916" t="s">
        <v>2674</v>
      </c>
      <c r="C8" s="916" t="s">
        <v>2675</v>
      </c>
      <c r="D8" s="715">
        <v>1600</v>
      </c>
    </row>
    <row r="9" spans="1:4">
      <c r="A9" s="916" t="s">
        <v>2676</v>
      </c>
      <c r="B9" s="916" t="s">
        <v>2676</v>
      </c>
      <c r="C9" s="916" t="s">
        <v>2677</v>
      </c>
      <c r="D9" s="715">
        <v>1750</v>
      </c>
    </row>
    <row r="10" spans="1:4">
      <c r="A10" s="916" t="s">
        <v>2678</v>
      </c>
      <c r="B10" s="916" t="s">
        <v>2678</v>
      </c>
      <c r="C10" s="916" t="s">
        <v>2679</v>
      </c>
      <c r="D10" s="715">
        <v>1600</v>
      </c>
    </row>
    <row r="11" spans="1:4">
      <c r="A11" s="916" t="s">
        <v>2680</v>
      </c>
      <c r="B11" s="916" t="s">
        <v>2680</v>
      </c>
      <c r="C11" s="916" t="s">
        <v>2681</v>
      </c>
      <c r="D11" s="715">
        <v>800</v>
      </c>
    </row>
    <row r="12" spans="1:4">
      <c r="A12" s="916" t="s">
        <v>2682</v>
      </c>
      <c r="B12" s="916" t="s">
        <v>2682</v>
      </c>
      <c r="C12" s="916" t="s">
        <v>2683</v>
      </c>
      <c r="D12" s="715">
        <v>1850</v>
      </c>
    </row>
    <row r="13" spans="1:4">
      <c r="A13" s="916" t="s">
        <v>2684</v>
      </c>
      <c r="B13" s="916" t="s">
        <v>2685</v>
      </c>
      <c r="C13" s="916" t="s">
        <v>2686</v>
      </c>
      <c r="D13" s="715">
        <v>370</v>
      </c>
    </row>
    <row r="14" spans="1:4">
      <c r="A14" s="916" t="s">
        <v>2687</v>
      </c>
      <c r="B14" s="916" t="s">
        <v>2687</v>
      </c>
      <c r="C14" s="916" t="s">
        <v>2688</v>
      </c>
      <c r="D14" s="715">
        <v>900</v>
      </c>
    </row>
    <row r="15" spans="1:4">
      <c r="A15" s="916" t="s">
        <v>2689</v>
      </c>
      <c r="B15" s="916" t="s">
        <v>2690</v>
      </c>
      <c r="C15" s="916" t="s">
        <v>2691</v>
      </c>
      <c r="D15" s="715">
        <v>1850</v>
      </c>
    </row>
    <row r="16" spans="1:4">
      <c r="A16" s="916" t="s">
        <v>2692</v>
      </c>
      <c r="B16" s="916" t="s">
        <v>2693</v>
      </c>
      <c r="C16" s="916" t="s">
        <v>2694</v>
      </c>
      <c r="D16" s="715">
        <v>1850</v>
      </c>
    </row>
    <row r="17" spans="1:4">
      <c r="A17" s="916" t="s">
        <v>2695</v>
      </c>
      <c r="B17" s="916" t="s">
        <v>2695</v>
      </c>
      <c r="C17" s="916" t="s">
        <v>2696</v>
      </c>
      <c r="D17" s="715">
        <v>1850</v>
      </c>
    </row>
    <row r="18" spans="1:4">
      <c r="A18" s="916" t="s">
        <v>2697</v>
      </c>
      <c r="B18" s="916" t="s">
        <v>2697</v>
      </c>
      <c r="C18" s="916" t="s">
        <v>2698</v>
      </c>
      <c r="D18" s="715">
        <v>1</v>
      </c>
    </row>
    <row r="19" spans="1:4">
      <c r="A19" s="916" t="s">
        <v>2699</v>
      </c>
      <c r="B19" s="916" t="s">
        <v>2699</v>
      </c>
      <c r="C19" s="916" t="s">
        <v>2700</v>
      </c>
      <c r="D19" s="715">
        <v>1.33</v>
      </c>
    </row>
    <row r="20" spans="1:4">
      <c r="A20" s="916" t="s">
        <v>2701</v>
      </c>
      <c r="B20" s="916" t="s">
        <v>2701</v>
      </c>
      <c r="C20" s="916" t="s">
        <v>2702</v>
      </c>
      <c r="D20" s="715">
        <v>1.33</v>
      </c>
    </row>
    <row r="21" spans="1:4">
      <c r="A21" s="630" t="s">
        <v>2072</v>
      </c>
    </row>
    <row r="22" spans="1:4">
      <c r="A22" s="1355" t="s">
        <v>2703</v>
      </c>
      <c r="B22" s="1356"/>
      <c r="C22" s="1356"/>
      <c r="D22" s="1356"/>
    </row>
    <row r="23" spans="1:4">
      <c r="A23" s="916" t="s">
        <v>2704</v>
      </c>
      <c r="B23" s="916" t="s">
        <v>2704</v>
      </c>
      <c r="C23" s="916" t="s">
        <v>2705</v>
      </c>
      <c r="D23" s="715">
        <v>10</v>
      </c>
    </row>
    <row r="24" spans="1:4">
      <c r="A24" s="630" t="s">
        <v>2072</v>
      </c>
    </row>
    <row r="25" spans="1:4">
      <c r="A25" s="1355" t="s">
        <v>2706</v>
      </c>
      <c r="B25" s="1356"/>
      <c r="C25" s="1356"/>
      <c r="D25" s="1356"/>
    </row>
    <row r="26" spans="1:4">
      <c r="A26" s="916" t="s">
        <v>2707</v>
      </c>
      <c r="B26" s="916" t="s">
        <v>2707</v>
      </c>
      <c r="C26" s="916" t="s">
        <v>2708</v>
      </c>
      <c r="D26" s="715">
        <v>10</v>
      </c>
    </row>
    <row r="27" spans="1:4">
      <c r="A27" s="916" t="s">
        <v>2709</v>
      </c>
      <c r="B27" s="916" t="s">
        <v>2709</v>
      </c>
      <c r="C27" s="916" t="s">
        <v>2710</v>
      </c>
      <c r="D27" s="715">
        <v>40</v>
      </c>
    </row>
    <row r="28" spans="1:4">
      <c r="A28" s="916" t="s">
        <v>2711</v>
      </c>
      <c r="B28" s="916" t="s">
        <v>2711</v>
      </c>
      <c r="C28" s="916" t="s">
        <v>2712</v>
      </c>
      <c r="D28" s="715">
        <v>90</v>
      </c>
    </row>
    <row r="29" spans="1:4">
      <c r="A29" s="916" t="s">
        <v>2713</v>
      </c>
      <c r="B29" s="916" t="s">
        <v>2713</v>
      </c>
      <c r="C29" s="916" t="s">
        <v>2714</v>
      </c>
      <c r="D29" s="715">
        <v>175</v>
      </c>
    </row>
    <row r="30" spans="1:4">
      <c r="A30" s="916" t="s">
        <v>2715</v>
      </c>
      <c r="B30" s="916" t="s">
        <v>2715</v>
      </c>
      <c r="C30" s="916" t="s">
        <v>2716</v>
      </c>
      <c r="D30" s="715">
        <v>325</v>
      </c>
    </row>
    <row r="31" spans="1:4">
      <c r="A31" s="916" t="s">
        <v>2717</v>
      </c>
      <c r="B31" s="916" t="s">
        <v>2717</v>
      </c>
      <c r="C31" s="916" t="s">
        <v>2718</v>
      </c>
      <c r="D31" s="715">
        <v>550</v>
      </c>
    </row>
    <row r="32" spans="1:4">
      <c r="A32" s="916" t="s">
        <v>2719</v>
      </c>
      <c r="B32" s="916" t="s">
        <v>2719</v>
      </c>
      <c r="C32" s="916" t="s">
        <v>2720</v>
      </c>
      <c r="D32" s="715">
        <v>98</v>
      </c>
    </row>
    <row r="33" spans="1:12">
      <c r="A33" s="916" t="s">
        <v>2721</v>
      </c>
      <c r="B33" s="916" t="s">
        <v>2721</v>
      </c>
      <c r="C33" s="916" t="s">
        <v>2722</v>
      </c>
      <c r="D33" s="715">
        <v>92</v>
      </c>
    </row>
    <row r="34" spans="1:12">
      <c r="A34" s="916" t="s">
        <v>2723</v>
      </c>
      <c r="B34" s="916" t="s">
        <v>2723</v>
      </c>
      <c r="C34" s="916" t="s">
        <v>2724</v>
      </c>
      <c r="D34" s="715">
        <v>88</v>
      </c>
    </row>
    <row r="35" spans="1:12">
      <c r="A35" s="916" t="s">
        <v>2725</v>
      </c>
      <c r="B35" s="916" t="s">
        <v>2725</v>
      </c>
      <c r="C35" s="916" t="s">
        <v>2726</v>
      </c>
      <c r="D35" s="715">
        <v>82</v>
      </c>
    </row>
    <row r="36" spans="1:12">
      <c r="A36" s="916" t="s">
        <v>2727</v>
      </c>
      <c r="B36" s="916" t="s">
        <v>2727</v>
      </c>
      <c r="C36" s="916" t="s">
        <v>2728</v>
      </c>
      <c r="D36" s="715">
        <v>108</v>
      </c>
    </row>
    <row r="37" spans="1:12">
      <c r="A37" s="916" t="s">
        <v>2729</v>
      </c>
      <c r="B37" s="916" t="s">
        <v>2729</v>
      </c>
      <c r="C37" s="916" t="s">
        <v>2730</v>
      </c>
      <c r="D37" s="715">
        <v>32</v>
      </c>
    </row>
    <row r="38" spans="1:12">
      <c r="A38" s="916" t="s">
        <v>2731</v>
      </c>
      <c r="B38" s="916" t="s">
        <v>2731</v>
      </c>
      <c r="C38" s="916" t="s">
        <v>2732</v>
      </c>
      <c r="D38" s="715">
        <v>20</v>
      </c>
    </row>
    <row r="39" spans="1:12">
      <c r="A39" s="916" t="s">
        <v>2733</v>
      </c>
      <c r="B39" s="916" t="s">
        <v>2733</v>
      </c>
      <c r="C39" s="916" t="s">
        <v>2734</v>
      </c>
      <c r="D39" s="715">
        <v>28</v>
      </c>
      <c r="L39" s="630">
        <f>F39*0.0256</f>
        <v>0</v>
      </c>
    </row>
    <row r="40" spans="1:12">
      <c r="A40" s="916" t="s">
        <v>2735</v>
      </c>
      <c r="B40" s="916" t="s">
        <v>2735</v>
      </c>
      <c r="C40" s="916" t="s">
        <v>2736</v>
      </c>
      <c r="D40" s="715">
        <v>225</v>
      </c>
    </row>
    <row r="41" spans="1:12">
      <c r="A41" s="916" t="s">
        <v>2737</v>
      </c>
      <c r="B41" s="916" t="s">
        <v>2737</v>
      </c>
      <c r="C41" s="916" t="s">
        <v>2738</v>
      </c>
      <c r="D41" s="715">
        <v>20</v>
      </c>
    </row>
    <row r="42" spans="1:12">
      <c r="A42" s="916" t="s">
        <v>2739</v>
      </c>
      <c r="B42" s="916" t="s">
        <v>2740</v>
      </c>
      <c r="C42" s="916" t="s">
        <v>2741</v>
      </c>
      <c r="D42" s="715">
        <v>16</v>
      </c>
    </row>
    <row r="43" spans="1:12">
      <c r="A43" s="916" t="s">
        <v>2742</v>
      </c>
      <c r="B43" s="916" t="s">
        <v>2742</v>
      </c>
      <c r="C43" s="916" t="s">
        <v>2743</v>
      </c>
      <c r="D43" s="715">
        <v>15</v>
      </c>
    </row>
    <row r="44" spans="1:12">
      <c r="A44" s="916" t="s">
        <v>2744</v>
      </c>
      <c r="B44" s="916" t="s">
        <v>2744</v>
      </c>
      <c r="C44" s="916" t="s">
        <v>2745</v>
      </c>
      <c r="D44" s="715">
        <v>16</v>
      </c>
    </row>
    <row r="45" spans="1:12">
      <c r="A45" s="916" t="s">
        <v>2746</v>
      </c>
      <c r="B45" s="916" t="s">
        <v>2746</v>
      </c>
      <c r="C45" s="916" t="s">
        <v>2747</v>
      </c>
      <c r="D45" s="715">
        <v>105</v>
      </c>
    </row>
    <row r="46" spans="1:12">
      <c r="A46" s="916" t="s">
        <v>2748</v>
      </c>
      <c r="B46" s="916" t="s">
        <v>2748</v>
      </c>
      <c r="C46" s="916" t="s">
        <v>2749</v>
      </c>
      <c r="D46" s="715">
        <v>42</v>
      </c>
    </row>
    <row r="47" spans="1:12">
      <c r="A47" s="916" t="s">
        <v>2750</v>
      </c>
      <c r="B47" s="916" t="s">
        <v>2751</v>
      </c>
      <c r="C47" s="916" t="s">
        <v>2752</v>
      </c>
      <c r="D47" s="715">
        <v>16</v>
      </c>
    </row>
    <row r="48" spans="1:12">
      <c r="A48" s="916" t="s">
        <v>2753</v>
      </c>
      <c r="B48" s="916" t="s">
        <v>2753</v>
      </c>
      <c r="C48" s="916" t="s">
        <v>2754</v>
      </c>
      <c r="D48" s="715">
        <v>105</v>
      </c>
    </row>
    <row r="49" spans="1:4">
      <c r="A49" s="916" t="s">
        <v>2755</v>
      </c>
      <c r="B49" s="916" t="s">
        <v>2755</v>
      </c>
      <c r="C49" s="916" t="s">
        <v>2756</v>
      </c>
      <c r="D49" s="715">
        <v>10</v>
      </c>
    </row>
    <row r="50" spans="1:4">
      <c r="A50" s="916" t="s">
        <v>2757</v>
      </c>
      <c r="B50" s="916" t="s">
        <v>2757</v>
      </c>
      <c r="C50" s="916" t="s">
        <v>2758</v>
      </c>
      <c r="D50" s="715">
        <v>100</v>
      </c>
    </row>
    <row r="51" spans="1:4">
      <c r="A51" s="916" t="s">
        <v>2759</v>
      </c>
      <c r="B51" s="916" t="s">
        <v>2760</v>
      </c>
      <c r="C51" s="916" t="s">
        <v>2761</v>
      </c>
      <c r="D51" s="715">
        <v>42</v>
      </c>
    </row>
    <row r="52" spans="1:4">
      <c r="A52" s="916" t="s">
        <v>2762</v>
      </c>
      <c r="B52" s="916" t="s">
        <v>2763</v>
      </c>
      <c r="C52" s="916" t="s">
        <v>2764</v>
      </c>
      <c r="D52" s="715">
        <v>72</v>
      </c>
    </row>
    <row r="53" spans="1:4">
      <c r="A53" s="916" t="s">
        <v>2765</v>
      </c>
      <c r="B53" s="916" t="s">
        <v>2766</v>
      </c>
      <c r="C53" s="916" t="s">
        <v>2767</v>
      </c>
      <c r="D53" s="715">
        <v>68</v>
      </c>
    </row>
    <row r="54" spans="1:4">
      <c r="A54" s="630" t="s">
        <v>2072</v>
      </c>
    </row>
    <row r="55" spans="1:4">
      <c r="A55" s="1355" t="s">
        <v>1707</v>
      </c>
      <c r="B55" s="1356"/>
      <c r="C55" s="1356"/>
      <c r="D55" s="1356"/>
    </row>
    <row r="56" spans="1:4">
      <c r="A56" s="916" t="s">
        <v>2768</v>
      </c>
      <c r="B56" s="916" t="s">
        <v>2768</v>
      </c>
      <c r="C56" s="916" t="s">
        <v>2769</v>
      </c>
      <c r="D56" s="715">
        <v>10</v>
      </c>
    </row>
    <row r="57" spans="1:4">
      <c r="A57" s="630" t="s">
        <v>2072</v>
      </c>
    </row>
    <row r="58" spans="1:4">
      <c r="A58" s="1355" t="s">
        <v>1833</v>
      </c>
      <c r="B58" s="1356"/>
      <c r="C58" s="1356"/>
      <c r="D58" s="1356"/>
    </row>
    <row r="59" spans="1:4">
      <c r="A59" s="916" t="s">
        <v>2770</v>
      </c>
      <c r="B59" s="916" t="s">
        <v>2770</v>
      </c>
      <c r="C59" s="916" t="s">
        <v>2771</v>
      </c>
      <c r="D59" s="715">
        <v>250</v>
      </c>
    </row>
    <row r="60" spans="1:4">
      <c r="A60" s="916" t="s">
        <v>2772</v>
      </c>
      <c r="B60" s="916" t="s">
        <v>2772</v>
      </c>
      <c r="C60" s="916" t="s">
        <v>2773</v>
      </c>
      <c r="D60" s="715">
        <v>625</v>
      </c>
    </row>
    <row r="61" spans="1:4">
      <c r="A61" s="916" t="s">
        <v>2774</v>
      </c>
      <c r="B61" s="916" t="s">
        <v>2774</v>
      </c>
      <c r="C61" s="916" t="s">
        <v>2775</v>
      </c>
      <c r="D61" s="715">
        <v>750</v>
      </c>
    </row>
    <row r="62" spans="1:4">
      <c r="A62" s="916" t="s">
        <v>2776</v>
      </c>
      <c r="B62" s="916" t="s">
        <v>2776</v>
      </c>
      <c r="C62" s="916" t="s">
        <v>2777</v>
      </c>
      <c r="D62" s="715">
        <v>180</v>
      </c>
    </row>
    <row r="63" spans="1:4">
      <c r="A63" s="630" t="s">
        <v>2072</v>
      </c>
    </row>
    <row r="64" spans="1:4">
      <c r="A64" s="1358" t="s">
        <v>2778</v>
      </c>
      <c r="B64" s="1356"/>
      <c r="C64" s="1356"/>
      <c r="D64" s="1356"/>
    </row>
    <row r="66" spans="1:4">
      <c r="A66" s="1355" t="s">
        <v>2779</v>
      </c>
      <c r="B66" s="1356"/>
      <c r="C66" s="1356"/>
      <c r="D66" s="1356"/>
    </row>
    <row r="67" spans="1:4">
      <c r="A67" s="916" t="s">
        <v>2780</v>
      </c>
      <c r="B67" s="916" t="s">
        <v>2780</v>
      </c>
      <c r="C67" s="916" t="s">
        <v>2781</v>
      </c>
      <c r="D67" s="715">
        <v>31975</v>
      </c>
    </row>
    <row r="68" spans="1:4">
      <c r="A68" s="916" t="s">
        <v>2782</v>
      </c>
      <c r="B68" s="916" t="s">
        <v>2782</v>
      </c>
      <c r="C68" s="916" t="s">
        <v>2783</v>
      </c>
      <c r="D68" s="715">
        <v>6395</v>
      </c>
    </row>
    <row r="69" spans="1:4">
      <c r="A69" s="630" t="s">
        <v>2072</v>
      </c>
    </row>
    <row r="70" spans="1:4">
      <c r="A70" s="1355" t="s">
        <v>2784</v>
      </c>
      <c r="B70" s="1356"/>
      <c r="C70" s="1356"/>
      <c r="D70" s="1356"/>
    </row>
    <row r="71" spans="1:4">
      <c r="A71" s="916" t="s">
        <v>2785</v>
      </c>
      <c r="B71" s="916" t="s">
        <v>2785</v>
      </c>
      <c r="C71" s="916" t="s">
        <v>2786</v>
      </c>
      <c r="D71" s="715">
        <v>31975</v>
      </c>
    </row>
    <row r="72" spans="1:4">
      <c r="A72" s="916" t="s">
        <v>2787</v>
      </c>
      <c r="B72" s="916" t="s">
        <v>2788</v>
      </c>
      <c r="C72" s="916" t="s">
        <v>2789</v>
      </c>
      <c r="D72" s="715">
        <v>6395</v>
      </c>
    </row>
    <row r="73" spans="1:4">
      <c r="A73" s="630" t="s">
        <v>2072</v>
      </c>
    </row>
    <row r="74" spans="1:4">
      <c r="A74" s="1355" t="s">
        <v>2790</v>
      </c>
      <c r="B74" s="1356"/>
      <c r="C74" s="1356"/>
      <c r="D74" s="1356"/>
    </row>
    <row r="75" spans="1:4">
      <c r="A75" s="916" t="s">
        <v>2791</v>
      </c>
      <c r="B75" s="916" t="s">
        <v>2792</v>
      </c>
      <c r="C75" s="916" t="s">
        <v>2793</v>
      </c>
      <c r="D75" s="715">
        <v>850</v>
      </c>
    </row>
    <row r="76" spans="1:4">
      <c r="A76" s="916" t="s">
        <v>2791</v>
      </c>
      <c r="B76" s="916" t="s">
        <v>2794</v>
      </c>
      <c r="C76" s="916" t="s">
        <v>2795</v>
      </c>
      <c r="D76" s="715">
        <v>170</v>
      </c>
    </row>
    <row r="77" spans="1:4">
      <c r="A77" s="630" t="s">
        <v>2072</v>
      </c>
    </row>
    <row r="78" spans="1:4">
      <c r="A78" s="1355" t="s">
        <v>2796</v>
      </c>
      <c r="B78" s="1356"/>
      <c r="C78" s="1356"/>
      <c r="D78" s="1356"/>
    </row>
    <row r="79" spans="1:4">
      <c r="A79" s="916" t="s">
        <v>2797</v>
      </c>
      <c r="B79" s="916" t="s">
        <v>2797</v>
      </c>
      <c r="C79" s="916" t="s">
        <v>2798</v>
      </c>
      <c r="D79" s="715">
        <v>725</v>
      </c>
    </row>
    <row r="80" spans="1:4">
      <c r="A80" s="916" t="s">
        <v>2799</v>
      </c>
      <c r="B80" s="916" t="s">
        <v>2800</v>
      </c>
      <c r="C80" s="916" t="s">
        <v>2801</v>
      </c>
      <c r="D80" s="715">
        <v>145</v>
      </c>
    </row>
    <row r="81" spans="1:4">
      <c r="A81" s="630" t="s">
        <v>2072</v>
      </c>
    </row>
    <row r="82" spans="1:4">
      <c r="A82" s="1355" t="s">
        <v>2802</v>
      </c>
      <c r="B82" s="1356"/>
      <c r="C82" s="1356"/>
      <c r="D82" s="1356"/>
    </row>
    <row r="83" spans="1:4">
      <c r="A83" s="916" t="s">
        <v>2803</v>
      </c>
      <c r="B83" s="916" t="s">
        <v>2804</v>
      </c>
      <c r="C83" s="916" t="s">
        <v>2805</v>
      </c>
      <c r="D83" s="715">
        <v>17745</v>
      </c>
    </row>
    <row r="84" spans="1:4">
      <c r="A84" s="916" t="s">
        <v>2806</v>
      </c>
      <c r="B84" s="916" t="s">
        <v>2807</v>
      </c>
      <c r="C84" s="916" t="s">
        <v>2808</v>
      </c>
      <c r="D84" s="715">
        <v>3549</v>
      </c>
    </row>
    <row r="85" spans="1:4">
      <c r="A85" s="630" t="s">
        <v>2072</v>
      </c>
    </row>
    <row r="86" spans="1:4">
      <c r="A86" s="1355" t="s">
        <v>2809</v>
      </c>
      <c r="B86" s="1356"/>
      <c r="C86" s="1356"/>
      <c r="D86" s="1356"/>
    </row>
    <row r="87" spans="1:4">
      <c r="A87" s="916" t="s">
        <v>2810</v>
      </c>
      <c r="B87" s="916" t="s">
        <v>2811</v>
      </c>
      <c r="C87" s="916" t="s">
        <v>2812</v>
      </c>
      <c r="D87" s="715">
        <v>1415</v>
      </c>
    </row>
    <row r="88" spans="1:4">
      <c r="A88" s="916" t="s">
        <v>2813</v>
      </c>
      <c r="B88" s="916" t="s">
        <v>2814</v>
      </c>
      <c r="C88" s="916" t="s">
        <v>2815</v>
      </c>
      <c r="D88" s="715">
        <v>283</v>
      </c>
    </row>
    <row r="89" spans="1:4">
      <c r="A89" s="916" t="s">
        <v>2816</v>
      </c>
      <c r="B89" s="916" t="s">
        <v>2816</v>
      </c>
      <c r="C89" s="916" t="s">
        <v>2817</v>
      </c>
      <c r="D89" s="715">
        <v>785</v>
      </c>
    </row>
    <row r="90" spans="1:4">
      <c r="A90" s="916" t="s">
        <v>2818</v>
      </c>
      <c r="B90" s="916" t="s">
        <v>2819</v>
      </c>
      <c r="C90" s="916" t="s">
        <v>2820</v>
      </c>
      <c r="D90" s="715">
        <v>157</v>
      </c>
    </row>
    <row r="91" spans="1:4">
      <c r="A91" s="916" t="s">
        <v>2821</v>
      </c>
      <c r="B91" s="916" t="s">
        <v>2821</v>
      </c>
      <c r="C91" s="916" t="s">
        <v>2822</v>
      </c>
      <c r="D91" s="715">
        <v>750</v>
      </c>
    </row>
    <row r="92" spans="1:4">
      <c r="A92" s="916" t="s">
        <v>2823</v>
      </c>
      <c r="B92" s="916" t="s">
        <v>2823</v>
      </c>
      <c r="C92" s="916" t="s">
        <v>2824</v>
      </c>
      <c r="D92" s="715">
        <v>150</v>
      </c>
    </row>
    <row r="93" spans="1:4">
      <c r="A93" s="916" t="s">
        <v>2825</v>
      </c>
      <c r="B93" s="916" t="s">
        <v>2825</v>
      </c>
      <c r="C93" s="916" t="s">
        <v>2826</v>
      </c>
      <c r="D93" s="715">
        <v>2625</v>
      </c>
    </row>
    <row r="94" spans="1:4">
      <c r="A94" s="916" t="s">
        <v>2827</v>
      </c>
      <c r="B94" s="916" t="s">
        <v>2828</v>
      </c>
      <c r="C94" s="916" t="s">
        <v>2829</v>
      </c>
      <c r="D94" s="715">
        <v>525</v>
      </c>
    </row>
    <row r="95" spans="1:4">
      <c r="A95" s="630" t="s">
        <v>2072</v>
      </c>
    </row>
    <row r="96" spans="1:4">
      <c r="A96" s="1355" t="s">
        <v>2830</v>
      </c>
      <c r="B96" s="1356"/>
      <c r="C96" s="1356"/>
      <c r="D96" s="1356"/>
    </row>
    <row r="97" spans="1:4">
      <c r="A97" s="916" t="s">
        <v>2831</v>
      </c>
      <c r="B97" s="916" t="s">
        <v>2832</v>
      </c>
      <c r="C97" s="916" t="s">
        <v>2833</v>
      </c>
      <c r="D97" s="715">
        <v>630</v>
      </c>
    </row>
    <row r="98" spans="1:4">
      <c r="A98" s="916" t="s">
        <v>2834</v>
      </c>
      <c r="B98" s="916" t="s">
        <v>2835</v>
      </c>
      <c r="C98" s="916" t="s">
        <v>2836</v>
      </c>
      <c r="D98" s="715">
        <v>130</v>
      </c>
    </row>
    <row r="99" spans="1:4">
      <c r="A99" s="916" t="s">
        <v>2837</v>
      </c>
      <c r="B99" s="916" t="s">
        <v>2838</v>
      </c>
      <c r="C99" s="916" t="s">
        <v>2839</v>
      </c>
      <c r="D99" s="715">
        <v>285</v>
      </c>
    </row>
    <row r="100" spans="1:4">
      <c r="A100" s="916" t="s">
        <v>2840</v>
      </c>
      <c r="B100" s="916" t="s">
        <v>2841</v>
      </c>
      <c r="C100" s="916" t="s">
        <v>2842</v>
      </c>
      <c r="D100" s="715">
        <v>55</v>
      </c>
    </row>
    <row r="101" spans="1:4">
      <c r="A101" s="630" t="s">
        <v>2072</v>
      </c>
    </row>
    <row r="102" spans="1:4">
      <c r="A102" s="1355" t="s">
        <v>2843</v>
      </c>
      <c r="B102" s="1356"/>
      <c r="C102" s="1356"/>
      <c r="D102" s="1356"/>
    </row>
    <row r="103" spans="1:4">
      <c r="A103" s="916" t="s">
        <v>2844</v>
      </c>
      <c r="B103" s="916" t="s">
        <v>2845</v>
      </c>
      <c r="C103" s="916" t="s">
        <v>2846</v>
      </c>
      <c r="D103" s="715">
        <v>199</v>
      </c>
    </row>
    <row r="104" spans="1:4">
      <c r="A104" s="630" t="s">
        <v>2072</v>
      </c>
    </row>
    <row r="105" spans="1:4">
      <c r="A105" s="1355" t="s">
        <v>2673</v>
      </c>
      <c r="B105" s="1356"/>
      <c r="C105" s="1356"/>
      <c r="D105" s="1356"/>
    </row>
    <row r="106" spans="1:4">
      <c r="A106" s="916" t="s">
        <v>2674</v>
      </c>
      <c r="B106" s="916" t="s">
        <v>2674</v>
      </c>
      <c r="C106" s="916" t="s">
        <v>2675</v>
      </c>
      <c r="D106" s="715">
        <v>1600</v>
      </c>
    </row>
    <row r="107" spans="1:4">
      <c r="A107" s="916" t="s">
        <v>2676</v>
      </c>
      <c r="B107" s="916" t="s">
        <v>2676</v>
      </c>
      <c r="C107" s="916" t="s">
        <v>2677</v>
      </c>
      <c r="D107" s="715">
        <v>1750</v>
      </c>
    </row>
    <row r="108" spans="1:4">
      <c r="A108" s="916" t="s">
        <v>2678</v>
      </c>
      <c r="B108" s="916" t="s">
        <v>2678</v>
      </c>
      <c r="C108" s="916" t="s">
        <v>2679</v>
      </c>
      <c r="D108" s="715">
        <v>1600</v>
      </c>
    </row>
    <row r="109" spans="1:4">
      <c r="A109" s="916" t="s">
        <v>2680</v>
      </c>
      <c r="B109" s="916" t="s">
        <v>2680</v>
      </c>
      <c r="C109" s="916" t="s">
        <v>2681</v>
      </c>
      <c r="D109" s="715">
        <v>800</v>
      </c>
    </row>
    <row r="110" spans="1:4">
      <c r="A110" s="916" t="s">
        <v>2682</v>
      </c>
      <c r="B110" s="916" t="s">
        <v>2682</v>
      </c>
      <c r="C110" s="916" t="s">
        <v>2683</v>
      </c>
      <c r="D110" s="715">
        <v>1850</v>
      </c>
    </row>
    <row r="111" spans="1:4">
      <c r="A111" s="916" t="s">
        <v>2684</v>
      </c>
      <c r="B111" s="916" t="s">
        <v>2685</v>
      </c>
      <c r="C111" s="916" t="s">
        <v>2686</v>
      </c>
      <c r="D111" s="715">
        <v>370</v>
      </c>
    </row>
    <row r="112" spans="1:4">
      <c r="A112" s="916" t="s">
        <v>2687</v>
      </c>
      <c r="B112" s="916" t="s">
        <v>2687</v>
      </c>
      <c r="C112" s="916" t="s">
        <v>2688</v>
      </c>
      <c r="D112" s="715">
        <v>900</v>
      </c>
    </row>
    <row r="113" spans="1:4">
      <c r="A113" s="916" t="s">
        <v>2692</v>
      </c>
      <c r="B113" s="916" t="s">
        <v>2693</v>
      </c>
      <c r="C113" s="916" t="s">
        <v>2694</v>
      </c>
      <c r="D113" s="715">
        <v>1850</v>
      </c>
    </row>
    <row r="114" spans="1:4">
      <c r="A114" s="916" t="s">
        <v>2695</v>
      </c>
      <c r="B114" s="916" t="s">
        <v>2695</v>
      </c>
      <c r="C114" s="916" t="s">
        <v>2696</v>
      </c>
      <c r="D114" s="715">
        <v>1850</v>
      </c>
    </row>
    <row r="115" spans="1:4">
      <c r="A115" s="916" t="s">
        <v>2697</v>
      </c>
      <c r="B115" s="916" t="s">
        <v>2697</v>
      </c>
      <c r="C115" s="916" t="s">
        <v>2698</v>
      </c>
      <c r="D115" s="715">
        <v>1</v>
      </c>
    </row>
    <row r="116" spans="1:4">
      <c r="A116" s="630" t="s">
        <v>2072</v>
      </c>
    </row>
    <row r="117" spans="1:4">
      <c r="A117" s="1355" t="s">
        <v>1833</v>
      </c>
      <c r="B117" s="1356"/>
      <c r="C117" s="1356"/>
      <c r="D117" s="1356"/>
    </row>
    <row r="118" spans="1:4">
      <c r="A118" s="916" t="s">
        <v>2776</v>
      </c>
      <c r="B118" s="916" t="s">
        <v>2776</v>
      </c>
      <c r="C118" s="916" t="s">
        <v>2777</v>
      </c>
      <c r="D118" s="715">
        <v>180</v>
      </c>
    </row>
    <row r="119" spans="1:4">
      <c r="A119" s="630" t="s">
        <v>2072</v>
      </c>
    </row>
    <row r="120" spans="1:4">
      <c r="A120" s="1361" t="s">
        <v>2847</v>
      </c>
      <c r="B120" s="1356"/>
      <c r="C120" s="1356"/>
      <c r="D120" s="1356"/>
    </row>
    <row r="121" spans="1:4">
      <c r="A121" s="1358" t="s">
        <v>2848</v>
      </c>
      <c r="B121" s="1356"/>
      <c r="C121" s="1356"/>
      <c r="D121" s="1356"/>
    </row>
    <row r="123" spans="1:4">
      <c r="A123" s="1355" t="s">
        <v>2673</v>
      </c>
      <c r="B123" s="1356"/>
      <c r="C123" s="1356"/>
      <c r="D123" s="1356"/>
    </row>
    <row r="124" spans="1:4">
      <c r="A124" s="916" t="s">
        <v>2674</v>
      </c>
      <c r="B124" s="916" t="s">
        <v>2674</v>
      </c>
      <c r="C124" s="916" t="s">
        <v>2675</v>
      </c>
      <c r="D124" s="715">
        <v>1600</v>
      </c>
    </row>
    <row r="125" spans="1:4">
      <c r="A125" s="916" t="s">
        <v>2676</v>
      </c>
      <c r="B125" s="916" t="s">
        <v>2676</v>
      </c>
      <c r="C125" s="916" t="s">
        <v>2677</v>
      </c>
      <c r="D125" s="715">
        <v>1750</v>
      </c>
    </row>
    <row r="126" spans="1:4">
      <c r="A126" s="916" t="s">
        <v>2678</v>
      </c>
      <c r="B126" s="916" t="s">
        <v>2678</v>
      </c>
      <c r="C126" s="916" t="s">
        <v>2679</v>
      </c>
      <c r="D126" s="715">
        <v>1600</v>
      </c>
    </row>
    <row r="127" spans="1:4">
      <c r="A127" s="916" t="s">
        <v>2680</v>
      </c>
      <c r="B127" s="916" t="s">
        <v>2680</v>
      </c>
      <c r="C127" s="916" t="s">
        <v>2681</v>
      </c>
      <c r="D127" s="715">
        <v>800</v>
      </c>
    </row>
    <row r="128" spans="1:4">
      <c r="A128" s="916" t="s">
        <v>2682</v>
      </c>
      <c r="B128" s="916" t="s">
        <v>2682</v>
      </c>
      <c r="C128" s="916" t="s">
        <v>2683</v>
      </c>
      <c r="D128" s="715">
        <v>1850</v>
      </c>
    </row>
    <row r="129" spans="1:4">
      <c r="A129" s="916" t="s">
        <v>2684</v>
      </c>
      <c r="B129" s="916" t="s">
        <v>2685</v>
      </c>
      <c r="C129" s="916" t="s">
        <v>2686</v>
      </c>
      <c r="D129" s="715">
        <v>370</v>
      </c>
    </row>
    <row r="130" spans="1:4">
      <c r="A130" s="916" t="s">
        <v>2687</v>
      </c>
      <c r="B130" s="916" t="s">
        <v>2687</v>
      </c>
      <c r="C130" s="916" t="s">
        <v>2688</v>
      </c>
      <c r="D130" s="715">
        <v>900</v>
      </c>
    </row>
    <row r="131" spans="1:4">
      <c r="A131" s="916" t="s">
        <v>2692</v>
      </c>
      <c r="B131" s="916" t="s">
        <v>2693</v>
      </c>
      <c r="C131" s="916" t="s">
        <v>2694</v>
      </c>
      <c r="D131" s="715">
        <v>1850</v>
      </c>
    </row>
    <row r="132" spans="1:4">
      <c r="A132" s="916" t="s">
        <v>2695</v>
      </c>
      <c r="B132" s="916" t="s">
        <v>2695</v>
      </c>
      <c r="C132" s="916" t="s">
        <v>2696</v>
      </c>
      <c r="D132" s="715">
        <v>1850</v>
      </c>
    </row>
    <row r="133" spans="1:4">
      <c r="A133" s="916" t="s">
        <v>2697</v>
      </c>
      <c r="B133" s="916" t="s">
        <v>2697</v>
      </c>
      <c r="C133" s="916" t="s">
        <v>2698</v>
      </c>
      <c r="D133" s="715">
        <v>1</v>
      </c>
    </row>
    <row r="134" spans="1:4">
      <c r="A134" s="630" t="s">
        <v>2072</v>
      </c>
    </row>
    <row r="135" spans="1:4">
      <c r="A135" s="1355" t="s">
        <v>1707</v>
      </c>
      <c r="B135" s="1356"/>
      <c r="C135" s="1356"/>
      <c r="D135" s="1356"/>
    </row>
    <row r="136" spans="1:4">
      <c r="A136" s="916" t="s">
        <v>2849</v>
      </c>
      <c r="B136" s="916" t="s">
        <v>2849</v>
      </c>
      <c r="C136" s="916" t="s">
        <v>2850</v>
      </c>
      <c r="D136" s="715">
        <v>119</v>
      </c>
    </row>
    <row r="137" spans="1:4">
      <c r="A137" s="630" t="s">
        <v>2072</v>
      </c>
    </row>
    <row r="138" spans="1:4">
      <c r="A138" s="1355" t="s">
        <v>1833</v>
      </c>
      <c r="B138" s="1356"/>
      <c r="C138" s="1356"/>
      <c r="D138" s="1356"/>
    </row>
    <row r="139" spans="1:4">
      <c r="A139" s="916" t="s">
        <v>2776</v>
      </c>
      <c r="B139" s="916" t="s">
        <v>2776</v>
      </c>
      <c r="C139" s="916" t="s">
        <v>2777</v>
      </c>
      <c r="D139" s="715">
        <v>180</v>
      </c>
    </row>
    <row r="140" spans="1:4">
      <c r="A140" s="630" t="s">
        <v>2072</v>
      </c>
    </row>
    <row r="141" spans="1:4">
      <c r="A141" s="1355" t="s">
        <v>2851</v>
      </c>
      <c r="B141" s="1356"/>
      <c r="C141" s="1356"/>
      <c r="D141" s="1356"/>
    </row>
    <row r="142" spans="1:4">
      <c r="A142" s="916" t="s">
        <v>2852</v>
      </c>
      <c r="B142" s="916" t="s">
        <v>2852</v>
      </c>
      <c r="C142" s="916" t="s">
        <v>2853</v>
      </c>
      <c r="D142" s="715">
        <v>595</v>
      </c>
    </row>
  </sheetData>
  <mergeCells count="24">
    <mergeCell ref="A78:D78"/>
    <mergeCell ref="A1:D1"/>
    <mergeCell ref="A2:D2"/>
    <mergeCell ref="A7:D7"/>
    <mergeCell ref="A22:D22"/>
    <mergeCell ref="A25:D25"/>
    <mergeCell ref="A55:D55"/>
    <mergeCell ref="A58:D58"/>
    <mergeCell ref="A64:D64"/>
    <mergeCell ref="A66:D66"/>
    <mergeCell ref="A70:D70"/>
    <mergeCell ref="A74:D74"/>
    <mergeCell ref="A141:D141"/>
    <mergeCell ref="A82:D82"/>
    <mergeCell ref="A86:D86"/>
    <mergeCell ref="A96:D96"/>
    <mergeCell ref="A102:D102"/>
    <mergeCell ref="A105:D105"/>
    <mergeCell ref="A117:D117"/>
    <mergeCell ref="A120:D120"/>
    <mergeCell ref="A121:D121"/>
    <mergeCell ref="A123:D123"/>
    <mergeCell ref="A135:D135"/>
    <mergeCell ref="A138:D138"/>
  </mergeCells>
  <hyperlinks>
    <hyperlink ref="A3" r:id="rId1" xr:uid="{4F0D29B2-6C4F-4638-A569-EE5E967C6890}"/>
  </hyperlinks>
  <pageMargins left="0.7" right="0.7" top="0.75" bottom="0.75" header="0.3" footer="0.3"/>
  <pageSetup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63CD9-785A-4239-BD03-9055F2508FA9}">
  <sheetPr>
    <tabColor rgb="FF660033"/>
  </sheetPr>
  <dimension ref="A1:L139"/>
  <sheetViews>
    <sheetView zoomScale="82" zoomScaleNormal="82" workbookViewId="0">
      <selection activeCell="K25" sqref="K25"/>
    </sheetView>
  </sheetViews>
  <sheetFormatPr defaultColWidth="8.85546875" defaultRowHeight="12.75"/>
  <cols>
    <col min="1" max="1" width="67.85546875" style="256" bestFit="1" customWidth="1"/>
    <col min="2" max="2" width="71.85546875" style="256" bestFit="1" customWidth="1"/>
    <col min="3" max="3" width="15.85546875" style="256" bestFit="1" customWidth="1"/>
    <col min="4" max="4" width="20.85546875" style="256" bestFit="1" customWidth="1"/>
    <col min="5" max="16384" width="8.85546875" style="256"/>
  </cols>
  <sheetData>
    <row r="1" spans="1:4" s="918" customFormat="1" ht="33">
      <c r="A1" s="1365" t="s">
        <v>2854</v>
      </c>
      <c r="B1" s="1366"/>
      <c r="C1" s="1366"/>
      <c r="D1" s="1366"/>
    </row>
    <row r="2" spans="1:4" ht="9" customHeight="1">
      <c r="A2" s="630"/>
      <c r="B2" s="630"/>
      <c r="C2" s="630"/>
      <c r="D2" s="630"/>
    </row>
    <row r="3" spans="1:4" ht="10.5" customHeight="1">
      <c r="A3" s="919" t="s">
        <v>2668</v>
      </c>
      <c r="B3" s="919" t="s">
        <v>48</v>
      </c>
      <c r="C3" s="919" t="s">
        <v>2669</v>
      </c>
      <c r="D3" s="919" t="s">
        <v>2670</v>
      </c>
    </row>
    <row r="4" spans="1:4">
      <c r="A4" s="630" t="s">
        <v>2072</v>
      </c>
      <c r="B4" s="630"/>
      <c r="C4" s="630"/>
      <c r="D4" s="630"/>
    </row>
    <row r="5" spans="1:4" s="266" customFormat="1" ht="68.25" customHeight="1">
      <c r="A5" s="1367" t="s">
        <v>2855</v>
      </c>
      <c r="B5" s="1356"/>
      <c r="C5" s="1356"/>
      <c r="D5" s="1356"/>
    </row>
    <row r="6" spans="1:4" ht="9" customHeight="1">
      <c r="A6" s="916" t="s">
        <v>2856</v>
      </c>
      <c r="B6" s="916" t="s">
        <v>2857</v>
      </c>
      <c r="C6" s="916" t="s">
        <v>2858</v>
      </c>
      <c r="D6" s="715">
        <v>4995</v>
      </c>
    </row>
    <row r="7" spans="1:4">
      <c r="A7" s="916" t="s">
        <v>2859</v>
      </c>
      <c r="B7" s="916" t="s">
        <v>2860</v>
      </c>
      <c r="C7" s="916" t="s">
        <v>2861</v>
      </c>
      <c r="D7" s="715">
        <v>999</v>
      </c>
    </row>
    <row r="8" spans="1:4" s="265" customFormat="1" ht="15.75" customHeight="1">
      <c r="A8" s="916" t="s">
        <v>2862</v>
      </c>
      <c r="B8" s="916" t="s">
        <v>2863</v>
      </c>
      <c r="C8" s="916" t="s">
        <v>2864</v>
      </c>
      <c r="D8" s="715">
        <v>1499</v>
      </c>
    </row>
    <row r="9" spans="1:4" s="291" customFormat="1" ht="54" customHeight="1">
      <c r="A9" s="916" t="s">
        <v>2865</v>
      </c>
      <c r="B9" s="916" t="s">
        <v>2866</v>
      </c>
      <c r="C9" s="916" t="s">
        <v>2867</v>
      </c>
      <c r="D9" s="715">
        <v>8795</v>
      </c>
    </row>
    <row r="10" spans="1:4" s="557" customFormat="1">
      <c r="A10" s="916" t="s">
        <v>2868</v>
      </c>
      <c r="B10" s="916" t="s">
        <v>2869</v>
      </c>
      <c r="C10" s="916" t="s">
        <v>2870</v>
      </c>
      <c r="D10" s="715">
        <v>1759</v>
      </c>
    </row>
    <row r="11" spans="1:4" s="557" customFormat="1">
      <c r="A11" s="916" t="s">
        <v>2871</v>
      </c>
      <c r="B11" s="916" t="s">
        <v>2872</v>
      </c>
      <c r="C11" s="916" t="s">
        <v>2873</v>
      </c>
      <c r="D11" s="715">
        <v>2639</v>
      </c>
    </row>
    <row r="12" spans="1:4" s="557" customFormat="1" ht="14.25">
      <c r="A12" s="916" t="s">
        <v>2874</v>
      </c>
      <c r="B12" s="916" t="s">
        <v>2875</v>
      </c>
      <c r="C12" s="916" t="s">
        <v>2876</v>
      </c>
      <c r="D12" s="715">
        <v>4995</v>
      </c>
    </row>
    <row r="13" spans="1:4" s="557" customFormat="1">
      <c r="A13" s="916" t="s">
        <v>2877</v>
      </c>
      <c r="B13" s="916" t="s">
        <v>2878</v>
      </c>
      <c r="C13" s="916" t="s">
        <v>2879</v>
      </c>
      <c r="D13" s="715">
        <v>999</v>
      </c>
    </row>
    <row r="14" spans="1:4" s="557" customFormat="1">
      <c r="A14" s="916" t="s">
        <v>2880</v>
      </c>
      <c r="B14" s="916" t="s">
        <v>2881</v>
      </c>
      <c r="C14" s="916" t="s">
        <v>2882</v>
      </c>
      <c r="D14" s="715">
        <v>1748</v>
      </c>
    </row>
    <row r="15" spans="1:4" s="557" customFormat="1" ht="14.65" customHeight="1">
      <c r="A15" s="630" t="s">
        <v>2072</v>
      </c>
      <c r="B15" s="630"/>
      <c r="C15" s="630"/>
      <c r="D15" s="630"/>
    </row>
    <row r="16" spans="1:4" s="557" customFormat="1">
      <c r="A16" s="1355" t="s">
        <v>2883</v>
      </c>
      <c r="B16" s="1356"/>
      <c r="C16" s="1356"/>
      <c r="D16" s="1356"/>
    </row>
    <row r="17" spans="1:4" s="557" customFormat="1">
      <c r="A17" s="916" t="s">
        <v>2884</v>
      </c>
      <c r="B17" s="916" t="s">
        <v>2885</v>
      </c>
      <c r="C17" s="916" t="s">
        <v>2886</v>
      </c>
      <c r="D17" s="715">
        <v>300</v>
      </c>
    </row>
    <row r="18" spans="1:4" s="557" customFormat="1">
      <c r="A18" s="630" t="s">
        <v>2072</v>
      </c>
      <c r="B18" s="630"/>
      <c r="C18" s="630"/>
      <c r="D18" s="630"/>
    </row>
    <row r="19" spans="1:4" s="557" customFormat="1">
      <c r="A19" s="1355" t="s">
        <v>2887</v>
      </c>
      <c r="B19" s="1356"/>
      <c r="C19" s="1356"/>
      <c r="D19" s="1356"/>
    </row>
    <row r="20" spans="1:4" s="557" customFormat="1" ht="14.25">
      <c r="A20" s="916" t="s">
        <v>2888</v>
      </c>
      <c r="B20" s="916" t="s">
        <v>2889</v>
      </c>
      <c r="C20" s="916" t="s">
        <v>2890</v>
      </c>
      <c r="D20" s="715">
        <v>35000</v>
      </c>
    </row>
    <row r="21" spans="1:4" s="557" customFormat="1">
      <c r="A21" s="916" t="s">
        <v>2891</v>
      </c>
      <c r="B21" s="916" t="s">
        <v>2892</v>
      </c>
      <c r="C21" s="916" t="s">
        <v>2893</v>
      </c>
      <c r="D21" s="715">
        <v>7000</v>
      </c>
    </row>
    <row r="22" spans="1:4" s="519" customFormat="1" ht="13.9" customHeight="1">
      <c r="A22" s="916" t="s">
        <v>2894</v>
      </c>
      <c r="B22" s="916" t="s">
        <v>2895</v>
      </c>
      <c r="C22" s="916" t="s">
        <v>2896</v>
      </c>
      <c r="D22" s="715">
        <v>10500</v>
      </c>
    </row>
    <row r="23" spans="1:4" s="291" customFormat="1" ht="14.25">
      <c r="A23" s="916" t="s">
        <v>2897</v>
      </c>
      <c r="B23" s="916" t="s">
        <v>2898</v>
      </c>
      <c r="C23" s="916" t="s">
        <v>2899</v>
      </c>
      <c r="D23" s="715">
        <v>15000</v>
      </c>
    </row>
    <row r="24" spans="1:4" s="291" customFormat="1">
      <c r="A24" s="916" t="s">
        <v>2900</v>
      </c>
      <c r="B24" s="916" t="s">
        <v>2901</v>
      </c>
      <c r="C24" s="916" t="s">
        <v>2902</v>
      </c>
      <c r="D24" s="715">
        <v>3000</v>
      </c>
    </row>
    <row r="25" spans="1:4" s="291" customFormat="1">
      <c r="A25" s="916" t="s">
        <v>2903</v>
      </c>
      <c r="B25" s="916" t="s">
        <v>2904</v>
      </c>
      <c r="C25" s="916" t="s">
        <v>2905</v>
      </c>
      <c r="D25" s="715">
        <v>4500</v>
      </c>
    </row>
    <row r="26" spans="1:4" s="291" customFormat="1" ht="14.25">
      <c r="A26" s="916" t="s">
        <v>2906</v>
      </c>
      <c r="B26" s="916" t="s">
        <v>2907</v>
      </c>
      <c r="C26" s="916" t="s">
        <v>2908</v>
      </c>
      <c r="D26" s="715">
        <v>25000</v>
      </c>
    </row>
    <row r="27" spans="1:4" s="291" customFormat="1">
      <c r="A27" s="916" t="s">
        <v>2909</v>
      </c>
      <c r="B27" s="916" t="s">
        <v>2910</v>
      </c>
      <c r="C27" s="916" t="s">
        <v>2911</v>
      </c>
      <c r="D27" s="715">
        <v>5000</v>
      </c>
    </row>
    <row r="28" spans="1:4" s="291" customFormat="1">
      <c r="A28" s="916" t="s">
        <v>2912</v>
      </c>
      <c r="B28" s="916" t="s">
        <v>2913</v>
      </c>
      <c r="C28" s="916" t="s">
        <v>2914</v>
      </c>
      <c r="D28" s="715">
        <v>7500</v>
      </c>
    </row>
    <row r="29" spans="1:4" s="291" customFormat="1">
      <c r="A29" s="916" t="s">
        <v>2915</v>
      </c>
      <c r="B29" s="916" t="s">
        <v>2916</v>
      </c>
      <c r="C29" s="916" t="s">
        <v>2917</v>
      </c>
      <c r="D29" s="715">
        <v>12500</v>
      </c>
    </row>
    <row r="30" spans="1:4" s="291" customFormat="1">
      <c r="A30" s="916" t="s">
        <v>2918</v>
      </c>
      <c r="B30" s="916" t="s">
        <v>2919</v>
      </c>
      <c r="C30" s="916" t="s">
        <v>2920</v>
      </c>
      <c r="D30" s="715">
        <v>2500</v>
      </c>
    </row>
    <row r="31" spans="1:4" s="291" customFormat="1">
      <c r="A31" s="916" t="s">
        <v>2921</v>
      </c>
      <c r="B31" s="916" t="s">
        <v>2922</v>
      </c>
      <c r="C31" s="916" t="s">
        <v>2923</v>
      </c>
      <c r="D31" s="715">
        <v>3750</v>
      </c>
    </row>
    <row r="32" spans="1:4" s="291" customFormat="1">
      <c r="A32" s="630" t="s">
        <v>2072</v>
      </c>
      <c r="B32" s="630"/>
      <c r="C32" s="630"/>
      <c r="D32" s="630"/>
    </row>
    <row r="33" spans="1:12" s="291" customFormat="1">
      <c r="A33" s="1355" t="s">
        <v>2924</v>
      </c>
      <c r="B33" s="1356"/>
      <c r="C33" s="1356"/>
      <c r="D33" s="1356"/>
    </row>
    <row r="34" spans="1:12" s="291" customFormat="1" ht="26.65" customHeight="1">
      <c r="A34" s="916" t="s">
        <v>2925</v>
      </c>
      <c r="B34" s="916" t="s">
        <v>2926</v>
      </c>
      <c r="C34" s="916" t="s">
        <v>2927</v>
      </c>
      <c r="D34" s="715">
        <v>3000</v>
      </c>
    </row>
    <row r="35" spans="1:12" s="291" customFormat="1">
      <c r="A35" s="916" t="s">
        <v>2928</v>
      </c>
      <c r="B35" s="916" t="s">
        <v>2929</v>
      </c>
      <c r="C35" s="916" t="s">
        <v>2930</v>
      </c>
      <c r="D35" s="715">
        <v>600</v>
      </c>
    </row>
    <row r="36" spans="1:12" s="291" customFormat="1">
      <c r="A36" s="916" t="s">
        <v>2931</v>
      </c>
      <c r="B36" s="916" t="s">
        <v>2932</v>
      </c>
      <c r="C36" s="916" t="s">
        <v>2933</v>
      </c>
      <c r="D36" s="715">
        <v>900</v>
      </c>
    </row>
    <row r="37" spans="1:12" s="291" customFormat="1">
      <c r="A37" s="916" t="s">
        <v>2934</v>
      </c>
      <c r="B37" s="916" t="s">
        <v>2935</v>
      </c>
      <c r="C37" s="916" t="s">
        <v>2936</v>
      </c>
      <c r="D37" s="715">
        <v>1900</v>
      </c>
    </row>
    <row r="38" spans="1:12" s="291" customFormat="1">
      <c r="A38" s="916" t="s">
        <v>2937</v>
      </c>
      <c r="B38" s="916" t="s">
        <v>2938</v>
      </c>
      <c r="C38" s="916" t="s">
        <v>2939</v>
      </c>
      <c r="D38" s="715">
        <v>2850</v>
      </c>
    </row>
    <row r="39" spans="1:12" s="291" customFormat="1">
      <c r="A39" s="916" t="s">
        <v>2940</v>
      </c>
      <c r="B39" s="916" t="s">
        <v>2941</v>
      </c>
      <c r="C39" s="916" t="s">
        <v>2942</v>
      </c>
      <c r="D39" s="715">
        <v>10000</v>
      </c>
      <c r="L39" s="291">
        <f>F39*0.0256</f>
        <v>0</v>
      </c>
    </row>
    <row r="40" spans="1:12" s="291" customFormat="1">
      <c r="A40" s="916" t="s">
        <v>2943</v>
      </c>
      <c r="B40" s="916" t="s">
        <v>2944</v>
      </c>
      <c r="C40" s="916" t="s">
        <v>2945</v>
      </c>
      <c r="D40" s="715">
        <v>2000</v>
      </c>
    </row>
    <row r="41" spans="1:12" s="291" customFormat="1">
      <c r="A41" s="916" t="s">
        <v>2946</v>
      </c>
      <c r="B41" s="916" t="s">
        <v>2947</v>
      </c>
      <c r="C41" s="916" t="s">
        <v>2948</v>
      </c>
      <c r="D41" s="715">
        <v>3500</v>
      </c>
    </row>
    <row r="42" spans="1:12" s="291" customFormat="1">
      <c r="A42" s="916" t="s">
        <v>2949</v>
      </c>
      <c r="B42" s="916" t="s">
        <v>2950</v>
      </c>
      <c r="C42" s="916" t="s">
        <v>2951</v>
      </c>
      <c r="D42" s="715">
        <v>5000</v>
      </c>
    </row>
    <row r="43" spans="1:12" s="291" customFormat="1">
      <c r="A43" s="916" t="s">
        <v>2952</v>
      </c>
      <c r="B43" s="916" t="s">
        <v>2953</v>
      </c>
      <c r="C43" s="916" t="s">
        <v>2954</v>
      </c>
      <c r="D43" s="715">
        <v>1000</v>
      </c>
    </row>
    <row r="44" spans="1:12" s="291" customFormat="1">
      <c r="A44" s="916" t="s">
        <v>2955</v>
      </c>
      <c r="B44" s="916" t="s">
        <v>2956</v>
      </c>
      <c r="C44" s="916" t="s">
        <v>2957</v>
      </c>
      <c r="D44" s="715">
        <v>1500</v>
      </c>
    </row>
    <row r="45" spans="1:12" s="291" customFormat="1">
      <c r="A45" s="916" t="s">
        <v>2958</v>
      </c>
      <c r="B45" s="916" t="s">
        <v>2959</v>
      </c>
      <c r="C45" s="916" t="s">
        <v>2960</v>
      </c>
      <c r="D45" s="715">
        <v>5000</v>
      </c>
    </row>
    <row r="46" spans="1:12" s="291" customFormat="1">
      <c r="A46" s="916" t="s">
        <v>2961</v>
      </c>
      <c r="B46" s="916" t="s">
        <v>2962</v>
      </c>
      <c r="C46" s="916" t="s">
        <v>2963</v>
      </c>
      <c r="D46" s="715">
        <v>1000</v>
      </c>
    </row>
    <row r="47" spans="1:12" s="291" customFormat="1">
      <c r="A47" s="916" t="s">
        <v>2964</v>
      </c>
      <c r="B47" s="916" t="s">
        <v>2965</v>
      </c>
      <c r="C47" s="916" t="s">
        <v>2966</v>
      </c>
      <c r="D47" s="715">
        <v>1500</v>
      </c>
    </row>
    <row r="48" spans="1:12" s="291" customFormat="1" ht="29.65" customHeight="1">
      <c r="A48" s="916" t="s">
        <v>2967</v>
      </c>
      <c r="B48" s="916" t="s">
        <v>2968</v>
      </c>
      <c r="C48" s="916" t="s">
        <v>2969</v>
      </c>
      <c r="D48" s="715">
        <v>7500</v>
      </c>
    </row>
    <row r="49" spans="1:4" s="291" customFormat="1">
      <c r="A49" s="916" t="s">
        <v>2970</v>
      </c>
      <c r="B49" s="916" t="s">
        <v>2971</v>
      </c>
      <c r="C49" s="916" t="s">
        <v>2972</v>
      </c>
      <c r="D49" s="715">
        <v>1500</v>
      </c>
    </row>
    <row r="50" spans="1:4" s="291" customFormat="1">
      <c r="A50" s="916" t="s">
        <v>2973</v>
      </c>
      <c r="B50" s="916" t="s">
        <v>2974</v>
      </c>
      <c r="C50" s="916" t="s">
        <v>2975</v>
      </c>
      <c r="D50" s="715">
        <v>2250</v>
      </c>
    </row>
    <row r="51" spans="1:4" s="291" customFormat="1">
      <c r="A51" s="916" t="s">
        <v>2976</v>
      </c>
      <c r="B51" s="916" t="s">
        <v>2977</v>
      </c>
      <c r="C51" s="916" t="s">
        <v>2978</v>
      </c>
      <c r="D51" s="715">
        <v>5000</v>
      </c>
    </row>
    <row r="52" spans="1:4" s="291" customFormat="1">
      <c r="A52" s="916" t="s">
        <v>2979</v>
      </c>
      <c r="B52" s="916" t="s">
        <v>2980</v>
      </c>
      <c r="C52" s="916" t="s">
        <v>2981</v>
      </c>
      <c r="D52" s="715">
        <v>1000</v>
      </c>
    </row>
    <row r="53" spans="1:4" s="291" customFormat="1">
      <c r="A53" s="916" t="s">
        <v>2982</v>
      </c>
      <c r="B53" s="916" t="s">
        <v>2983</v>
      </c>
      <c r="C53" s="916" t="s">
        <v>2984</v>
      </c>
      <c r="D53" s="715">
        <v>1500</v>
      </c>
    </row>
    <row r="54" spans="1:4" s="291" customFormat="1">
      <c r="A54" s="916" t="s">
        <v>2985</v>
      </c>
      <c r="B54" s="916" t="s">
        <v>2986</v>
      </c>
      <c r="C54" s="916" t="s">
        <v>2987</v>
      </c>
      <c r="D54" s="715">
        <v>5000</v>
      </c>
    </row>
    <row r="55" spans="1:4" s="291" customFormat="1">
      <c r="A55" s="916" t="s">
        <v>2988</v>
      </c>
      <c r="B55" s="916" t="s">
        <v>2989</v>
      </c>
      <c r="C55" s="916" t="s">
        <v>2990</v>
      </c>
      <c r="D55" s="715">
        <v>1000</v>
      </c>
    </row>
    <row r="56" spans="1:4" s="291" customFormat="1">
      <c r="A56" s="916" t="s">
        <v>2991</v>
      </c>
      <c r="B56" s="916" t="s">
        <v>2992</v>
      </c>
      <c r="C56" s="916" t="s">
        <v>2993</v>
      </c>
      <c r="D56" s="715">
        <v>1500</v>
      </c>
    </row>
    <row r="57" spans="1:4" s="291" customFormat="1">
      <c r="A57" s="916" t="s">
        <v>2994</v>
      </c>
      <c r="B57" s="916" t="s">
        <v>2995</v>
      </c>
      <c r="C57" s="916" t="s">
        <v>2996</v>
      </c>
      <c r="D57" s="715">
        <v>1000</v>
      </c>
    </row>
    <row r="58" spans="1:4" s="291" customFormat="1" ht="29.65" customHeight="1">
      <c r="A58" s="916" t="s">
        <v>2997</v>
      </c>
      <c r="B58" s="916" t="s">
        <v>2998</v>
      </c>
      <c r="C58" s="916" t="s">
        <v>2999</v>
      </c>
      <c r="D58" s="715">
        <v>1750</v>
      </c>
    </row>
    <row r="59" spans="1:4" s="291" customFormat="1">
      <c r="A59" s="916" t="s">
        <v>3000</v>
      </c>
      <c r="B59" s="916" t="s">
        <v>3001</v>
      </c>
      <c r="C59" s="916" t="s">
        <v>3002</v>
      </c>
      <c r="D59" s="715">
        <v>10000</v>
      </c>
    </row>
    <row r="60" spans="1:4" s="291" customFormat="1">
      <c r="A60" s="916" t="s">
        <v>3003</v>
      </c>
      <c r="B60" s="916" t="s">
        <v>3004</v>
      </c>
      <c r="C60" s="916" t="s">
        <v>3005</v>
      </c>
      <c r="D60" s="715">
        <v>2000</v>
      </c>
    </row>
    <row r="61" spans="1:4" s="291" customFormat="1">
      <c r="A61" s="916" t="s">
        <v>3006</v>
      </c>
      <c r="B61" s="916" t="s">
        <v>3007</v>
      </c>
      <c r="C61" s="916" t="s">
        <v>3008</v>
      </c>
      <c r="D61" s="715">
        <v>3000</v>
      </c>
    </row>
    <row r="62" spans="1:4" s="291" customFormat="1">
      <c r="A62" s="916" t="s">
        <v>3009</v>
      </c>
      <c r="B62" s="916" t="s">
        <v>3010</v>
      </c>
      <c r="C62" s="916" t="s">
        <v>3011</v>
      </c>
      <c r="D62" s="715">
        <v>7500</v>
      </c>
    </row>
    <row r="63" spans="1:4" s="291" customFormat="1">
      <c r="A63" s="916" t="s">
        <v>3012</v>
      </c>
      <c r="B63" s="916" t="s">
        <v>3013</v>
      </c>
      <c r="C63" s="916" t="s">
        <v>3014</v>
      </c>
      <c r="D63" s="715">
        <v>1500</v>
      </c>
    </row>
    <row r="64" spans="1:4" s="291" customFormat="1">
      <c r="A64" s="916" t="s">
        <v>3015</v>
      </c>
      <c r="B64" s="916" t="s">
        <v>3016</v>
      </c>
      <c r="C64" s="916" t="s">
        <v>3017</v>
      </c>
      <c r="D64" s="715">
        <v>2250</v>
      </c>
    </row>
    <row r="65" spans="1:4" s="291" customFormat="1" ht="14.25">
      <c r="A65" s="916" t="s">
        <v>3018</v>
      </c>
      <c r="B65" s="916" t="s">
        <v>3019</v>
      </c>
      <c r="C65" s="916" t="s">
        <v>3020</v>
      </c>
      <c r="D65" s="715">
        <v>15000</v>
      </c>
    </row>
    <row r="66" spans="1:4" s="291" customFormat="1">
      <c r="A66" s="916" t="s">
        <v>3021</v>
      </c>
      <c r="B66" s="916" t="s">
        <v>3022</v>
      </c>
      <c r="C66" s="916" t="s">
        <v>3023</v>
      </c>
      <c r="D66" s="715">
        <v>3000</v>
      </c>
    </row>
    <row r="67" spans="1:4" s="291" customFormat="1">
      <c r="A67" s="916" t="s">
        <v>3024</v>
      </c>
      <c r="B67" s="916" t="s">
        <v>3025</v>
      </c>
      <c r="C67" s="916" t="s">
        <v>3026</v>
      </c>
      <c r="D67" s="715">
        <v>4500</v>
      </c>
    </row>
    <row r="68" spans="1:4" s="291" customFormat="1" ht="31.15" customHeight="1">
      <c r="A68" s="916" t="s">
        <v>3027</v>
      </c>
      <c r="B68" s="916" t="s">
        <v>3028</v>
      </c>
      <c r="C68" s="916" t="s">
        <v>3029</v>
      </c>
      <c r="D68" s="715">
        <v>500</v>
      </c>
    </row>
    <row r="69" spans="1:4" s="291" customFormat="1">
      <c r="A69" s="916" t="s">
        <v>3030</v>
      </c>
      <c r="B69" s="916" t="s">
        <v>3031</v>
      </c>
      <c r="C69" s="916" t="s">
        <v>3032</v>
      </c>
      <c r="D69" s="715">
        <v>500</v>
      </c>
    </row>
    <row r="70" spans="1:4" s="291" customFormat="1">
      <c r="A70" s="916" t="s">
        <v>3033</v>
      </c>
      <c r="B70" s="916" t="s">
        <v>3034</v>
      </c>
      <c r="C70" s="916" t="s">
        <v>3035</v>
      </c>
      <c r="D70" s="715">
        <v>100</v>
      </c>
    </row>
    <row r="71" spans="1:4" s="291" customFormat="1">
      <c r="A71" s="916" t="s">
        <v>3036</v>
      </c>
      <c r="B71" s="916" t="s">
        <v>3037</v>
      </c>
      <c r="C71" s="916" t="s">
        <v>3038</v>
      </c>
      <c r="D71" s="715">
        <v>150</v>
      </c>
    </row>
    <row r="72" spans="1:4" s="291" customFormat="1">
      <c r="A72" s="916" t="s">
        <v>3039</v>
      </c>
      <c r="B72" s="916" t="s">
        <v>3040</v>
      </c>
      <c r="C72" s="916" t="s">
        <v>3041</v>
      </c>
      <c r="D72" s="715">
        <v>3500</v>
      </c>
    </row>
    <row r="73" spans="1:4" s="291" customFormat="1">
      <c r="A73" s="916" t="s">
        <v>3042</v>
      </c>
      <c r="B73" s="916" t="s">
        <v>3043</v>
      </c>
      <c r="C73" s="916" t="s">
        <v>3044</v>
      </c>
      <c r="D73" s="715">
        <v>5000</v>
      </c>
    </row>
    <row r="74" spans="1:4" s="291" customFormat="1">
      <c r="A74" s="916" t="s">
        <v>3045</v>
      </c>
      <c r="B74" s="916" t="s">
        <v>3046</v>
      </c>
      <c r="C74" s="916" t="s">
        <v>3047</v>
      </c>
      <c r="D74" s="715">
        <v>4500</v>
      </c>
    </row>
    <row r="75" spans="1:4" s="291" customFormat="1">
      <c r="A75" s="916" t="s">
        <v>3048</v>
      </c>
      <c r="B75" s="916" t="s">
        <v>3049</v>
      </c>
      <c r="C75" s="916" t="s">
        <v>3050</v>
      </c>
      <c r="D75" s="715">
        <v>3000</v>
      </c>
    </row>
    <row r="76" spans="1:4" s="291" customFormat="1">
      <c r="A76" s="916" t="s">
        <v>3051</v>
      </c>
      <c r="B76" s="916" t="s">
        <v>3052</v>
      </c>
      <c r="C76" s="916" t="s">
        <v>3053</v>
      </c>
      <c r="D76" s="715">
        <v>3000</v>
      </c>
    </row>
    <row r="77" spans="1:4" s="291" customFormat="1" ht="29.65" customHeight="1">
      <c r="A77" s="916" t="s">
        <v>3054</v>
      </c>
      <c r="B77" s="916" t="s">
        <v>3055</v>
      </c>
      <c r="C77" s="916" t="s">
        <v>3056</v>
      </c>
      <c r="D77" s="715">
        <v>1200</v>
      </c>
    </row>
    <row r="78" spans="1:4" s="291" customFormat="1">
      <c r="A78" s="916" t="s">
        <v>3057</v>
      </c>
      <c r="B78" s="916" t="s">
        <v>3058</v>
      </c>
      <c r="C78" s="916" t="s">
        <v>3059</v>
      </c>
      <c r="D78" s="715">
        <v>1200</v>
      </c>
    </row>
    <row r="79" spans="1:4" s="291" customFormat="1" ht="14.25">
      <c r="A79" s="916" t="s">
        <v>3060</v>
      </c>
      <c r="B79" s="916" t="s">
        <v>3061</v>
      </c>
      <c r="C79" s="916" t="s">
        <v>3062</v>
      </c>
      <c r="D79" s="715">
        <v>2000</v>
      </c>
    </row>
    <row r="80" spans="1:4" s="291" customFormat="1" ht="30.6" customHeight="1">
      <c r="A80" s="916" t="s">
        <v>3063</v>
      </c>
      <c r="B80" s="916" t="s">
        <v>3064</v>
      </c>
      <c r="C80" s="916" t="s">
        <v>3065</v>
      </c>
      <c r="D80" s="715">
        <v>400</v>
      </c>
    </row>
    <row r="81" spans="1:4" s="291" customFormat="1">
      <c r="A81" s="916" t="s">
        <v>3066</v>
      </c>
      <c r="B81" s="916" t="s">
        <v>3067</v>
      </c>
      <c r="C81" s="916" t="s">
        <v>3068</v>
      </c>
      <c r="D81" s="715">
        <v>600</v>
      </c>
    </row>
    <row r="82" spans="1:4" s="291" customFormat="1">
      <c r="A82" s="916" t="s">
        <v>3069</v>
      </c>
      <c r="B82" s="916" t="s">
        <v>3070</v>
      </c>
      <c r="C82" s="916" t="s">
        <v>3071</v>
      </c>
      <c r="D82" s="715">
        <v>2500</v>
      </c>
    </row>
    <row r="83" spans="1:4" s="291" customFormat="1" ht="30.6" customHeight="1">
      <c r="A83" s="916" t="s">
        <v>3072</v>
      </c>
      <c r="B83" s="916" t="s">
        <v>3073</v>
      </c>
      <c r="C83" s="916" t="s">
        <v>3074</v>
      </c>
      <c r="D83" s="715">
        <v>500</v>
      </c>
    </row>
    <row r="84" spans="1:4" s="291" customFormat="1">
      <c r="A84" s="916" t="s">
        <v>3075</v>
      </c>
      <c r="B84" s="916" t="s">
        <v>3076</v>
      </c>
      <c r="C84" s="916" t="s">
        <v>3077</v>
      </c>
      <c r="D84" s="715">
        <v>875</v>
      </c>
    </row>
    <row r="85" spans="1:4" s="291" customFormat="1">
      <c r="A85" s="916" t="s">
        <v>3078</v>
      </c>
      <c r="B85" s="916" t="s">
        <v>3079</v>
      </c>
      <c r="C85" s="916" t="s">
        <v>3080</v>
      </c>
      <c r="D85" s="715">
        <v>7500</v>
      </c>
    </row>
    <row r="86" spans="1:4" s="291" customFormat="1">
      <c r="A86" s="916" t="s">
        <v>3081</v>
      </c>
      <c r="B86" s="916" t="s">
        <v>3082</v>
      </c>
      <c r="C86" s="916" t="s">
        <v>3083</v>
      </c>
      <c r="D86" s="715">
        <v>1500</v>
      </c>
    </row>
    <row r="87" spans="1:4" s="291" customFormat="1">
      <c r="A87" s="916" t="s">
        <v>3084</v>
      </c>
      <c r="B87" s="916" t="s">
        <v>3085</v>
      </c>
      <c r="C87" s="916" t="s">
        <v>3086</v>
      </c>
      <c r="D87" s="715">
        <v>2250</v>
      </c>
    </row>
    <row r="88" spans="1:4" s="291" customFormat="1">
      <c r="A88" s="916" t="s">
        <v>3087</v>
      </c>
      <c r="B88" s="916" t="s">
        <v>3088</v>
      </c>
      <c r="C88" s="916" t="s">
        <v>3089</v>
      </c>
      <c r="D88" s="715">
        <v>995</v>
      </c>
    </row>
    <row r="89" spans="1:4" s="291" customFormat="1" ht="30.6" customHeight="1">
      <c r="A89" s="916" t="s">
        <v>3090</v>
      </c>
      <c r="B89" s="916" t="s">
        <v>3091</v>
      </c>
      <c r="C89" s="916" t="s">
        <v>3092</v>
      </c>
      <c r="D89" s="715">
        <v>200</v>
      </c>
    </row>
    <row r="90" spans="1:4" s="291" customFormat="1">
      <c r="A90" s="916" t="s">
        <v>3093</v>
      </c>
      <c r="B90" s="916" t="s">
        <v>3094</v>
      </c>
      <c r="C90" s="916" t="s">
        <v>3095</v>
      </c>
      <c r="D90" s="715">
        <v>300</v>
      </c>
    </row>
    <row r="91" spans="1:4" s="291" customFormat="1">
      <c r="A91" s="916" t="s">
        <v>3096</v>
      </c>
      <c r="B91" s="916" t="s">
        <v>3097</v>
      </c>
      <c r="C91" s="916" t="s">
        <v>3098</v>
      </c>
      <c r="D91" s="715">
        <v>5000</v>
      </c>
    </row>
    <row r="92" spans="1:4" s="519" customFormat="1" ht="13.9" customHeight="1">
      <c r="A92" s="916" t="s">
        <v>3099</v>
      </c>
      <c r="B92" s="916" t="s">
        <v>3100</v>
      </c>
      <c r="C92" s="916" t="s">
        <v>3101</v>
      </c>
      <c r="D92" s="715">
        <v>1000</v>
      </c>
    </row>
    <row r="93" spans="1:4" s="291" customFormat="1" ht="24" customHeight="1">
      <c r="A93" s="916" t="s">
        <v>3102</v>
      </c>
      <c r="B93" s="916" t="s">
        <v>3103</v>
      </c>
      <c r="C93" s="916" t="s">
        <v>3104</v>
      </c>
      <c r="D93" s="715">
        <v>1500</v>
      </c>
    </row>
    <row r="94" spans="1:4" s="291" customFormat="1">
      <c r="A94" s="916" t="s">
        <v>3105</v>
      </c>
      <c r="B94" s="916" t="s">
        <v>3106</v>
      </c>
      <c r="C94" s="916" t="s">
        <v>3107</v>
      </c>
      <c r="D94" s="715">
        <v>7500</v>
      </c>
    </row>
    <row r="95" spans="1:4" s="291" customFormat="1">
      <c r="A95" s="916" t="s">
        <v>3108</v>
      </c>
      <c r="B95" s="916" t="s">
        <v>3109</v>
      </c>
      <c r="C95" s="916" t="s">
        <v>3110</v>
      </c>
      <c r="D95" s="715">
        <v>1500</v>
      </c>
    </row>
    <row r="96" spans="1:4" s="291" customFormat="1">
      <c r="A96" s="916" t="s">
        <v>3108</v>
      </c>
      <c r="B96" s="916" t="s">
        <v>3111</v>
      </c>
      <c r="C96" s="916" t="s">
        <v>3112</v>
      </c>
      <c r="D96" s="715">
        <v>2250</v>
      </c>
    </row>
    <row r="97" spans="1:4" s="291" customFormat="1">
      <c r="A97" s="916" t="s">
        <v>3113</v>
      </c>
      <c r="B97" s="916" t="s">
        <v>3114</v>
      </c>
      <c r="C97" s="916" t="s">
        <v>3115</v>
      </c>
      <c r="D97" s="715">
        <v>10000</v>
      </c>
    </row>
    <row r="98" spans="1:4" s="291" customFormat="1">
      <c r="A98" s="916" t="s">
        <v>3116</v>
      </c>
      <c r="B98" s="916" t="s">
        <v>3117</v>
      </c>
      <c r="C98" s="916" t="s">
        <v>3118</v>
      </c>
      <c r="D98" s="715">
        <v>2000</v>
      </c>
    </row>
    <row r="99" spans="1:4" s="291" customFormat="1">
      <c r="A99" s="916" t="s">
        <v>3119</v>
      </c>
      <c r="B99" s="916" t="s">
        <v>3120</v>
      </c>
      <c r="C99" s="916" t="s">
        <v>3121</v>
      </c>
      <c r="D99" s="715">
        <v>3000</v>
      </c>
    </row>
    <row r="100" spans="1:4" s="291" customFormat="1">
      <c r="A100" s="916" t="s">
        <v>3122</v>
      </c>
      <c r="B100" s="916" t="s">
        <v>3123</v>
      </c>
      <c r="C100" s="916" t="s">
        <v>3124</v>
      </c>
      <c r="D100" s="715">
        <v>5000</v>
      </c>
    </row>
    <row r="101" spans="1:4" s="291" customFormat="1">
      <c r="A101" s="916" t="s">
        <v>3125</v>
      </c>
      <c r="B101" s="916" t="s">
        <v>3126</v>
      </c>
      <c r="C101" s="916" t="s">
        <v>3127</v>
      </c>
      <c r="D101" s="715">
        <v>1000</v>
      </c>
    </row>
    <row r="102" spans="1:4" s="291" customFormat="1">
      <c r="A102" s="916" t="s">
        <v>3128</v>
      </c>
      <c r="B102" s="916" t="s">
        <v>3129</v>
      </c>
      <c r="C102" s="916" t="s">
        <v>3130</v>
      </c>
      <c r="D102" s="715">
        <v>1500</v>
      </c>
    </row>
    <row r="103" spans="1:4" s="291" customFormat="1">
      <c r="A103" s="630" t="s">
        <v>2072</v>
      </c>
      <c r="B103" s="630"/>
      <c r="C103" s="630"/>
      <c r="D103" s="630"/>
    </row>
    <row r="104" spans="1:4" s="291" customFormat="1">
      <c r="A104" s="1355" t="s">
        <v>3131</v>
      </c>
      <c r="B104" s="1356"/>
      <c r="C104" s="1356"/>
      <c r="D104" s="1356"/>
    </row>
    <row r="105" spans="1:4" s="291" customFormat="1">
      <c r="A105" s="916" t="s">
        <v>3132</v>
      </c>
      <c r="B105" s="916" t="s">
        <v>3133</v>
      </c>
      <c r="C105" s="916" t="s">
        <v>3134</v>
      </c>
      <c r="D105" s="715">
        <v>500</v>
      </c>
    </row>
    <row r="106" spans="1:4" s="291" customFormat="1">
      <c r="A106" s="916" t="s">
        <v>3135</v>
      </c>
      <c r="B106" s="916" t="s">
        <v>3136</v>
      </c>
      <c r="C106" s="916" t="s">
        <v>3137</v>
      </c>
      <c r="D106" s="715">
        <v>4500</v>
      </c>
    </row>
    <row r="107" spans="1:4" s="291" customFormat="1">
      <c r="A107" s="916" t="s">
        <v>3138</v>
      </c>
      <c r="B107" s="916" t="s">
        <v>3139</v>
      </c>
      <c r="C107" s="916" t="s">
        <v>3140</v>
      </c>
      <c r="D107" s="715">
        <v>1800</v>
      </c>
    </row>
    <row r="108" spans="1:4" s="291" customFormat="1">
      <c r="A108" s="916" t="s">
        <v>3141</v>
      </c>
      <c r="B108" s="916" t="s">
        <v>3142</v>
      </c>
      <c r="C108" s="916" t="s">
        <v>3143</v>
      </c>
      <c r="D108" s="715">
        <v>1800</v>
      </c>
    </row>
    <row r="109" spans="1:4" s="291" customFormat="1">
      <c r="A109" s="916" t="s">
        <v>3144</v>
      </c>
      <c r="B109" s="916" t="s">
        <v>3145</v>
      </c>
      <c r="C109" s="916" t="s">
        <v>3146</v>
      </c>
      <c r="D109" s="715">
        <v>7000</v>
      </c>
    </row>
    <row r="110" spans="1:4" s="291" customFormat="1">
      <c r="A110" s="916" t="s">
        <v>3147</v>
      </c>
      <c r="B110" s="916" t="s">
        <v>3148</v>
      </c>
      <c r="C110" s="916" t="s">
        <v>3149</v>
      </c>
      <c r="D110" s="715">
        <v>3000</v>
      </c>
    </row>
    <row r="111" spans="1:4" s="291" customFormat="1">
      <c r="A111" s="916" t="s">
        <v>3150</v>
      </c>
      <c r="B111" s="916" t="s">
        <v>3151</v>
      </c>
      <c r="C111" s="916" t="s">
        <v>3152</v>
      </c>
      <c r="D111" s="715">
        <v>1500</v>
      </c>
    </row>
    <row r="112" spans="1:4" s="291" customFormat="1">
      <c r="A112" s="916" t="s">
        <v>3153</v>
      </c>
      <c r="B112" s="916" t="s">
        <v>3154</v>
      </c>
      <c r="C112" s="916" t="s">
        <v>3155</v>
      </c>
      <c r="D112" s="715">
        <v>3500</v>
      </c>
    </row>
    <row r="113" spans="1:4" s="291" customFormat="1">
      <c r="A113" s="916" t="s">
        <v>3156</v>
      </c>
      <c r="B113" s="916" t="s">
        <v>3157</v>
      </c>
      <c r="C113" s="916" t="s">
        <v>3158</v>
      </c>
      <c r="D113" s="715">
        <v>3000</v>
      </c>
    </row>
    <row r="114" spans="1:4" s="291" customFormat="1">
      <c r="A114" s="916" t="s">
        <v>3159</v>
      </c>
      <c r="B114" s="916" t="s">
        <v>3160</v>
      </c>
      <c r="C114" s="916" t="s">
        <v>3161</v>
      </c>
      <c r="D114" s="715">
        <v>3500</v>
      </c>
    </row>
    <row r="115" spans="1:4" s="291" customFormat="1">
      <c r="A115" s="916" t="s">
        <v>3162</v>
      </c>
      <c r="B115" s="916" t="s">
        <v>3163</v>
      </c>
      <c r="C115" s="916" t="s">
        <v>3164</v>
      </c>
      <c r="D115" s="715">
        <v>7000</v>
      </c>
    </row>
    <row r="116" spans="1:4" s="291" customFormat="1">
      <c r="A116" s="916" t="s">
        <v>3165</v>
      </c>
      <c r="B116" s="916" t="s">
        <v>3166</v>
      </c>
      <c r="C116" s="916" t="s">
        <v>3167</v>
      </c>
      <c r="D116" s="715">
        <v>3500</v>
      </c>
    </row>
    <row r="117" spans="1:4" s="315" customFormat="1">
      <c r="A117" s="916" t="s">
        <v>3168</v>
      </c>
      <c r="B117" s="916" t="s">
        <v>3169</v>
      </c>
      <c r="C117" s="916" t="s">
        <v>3170</v>
      </c>
      <c r="D117" s="715">
        <v>3500</v>
      </c>
    </row>
    <row r="118" spans="1:4" s="315" customFormat="1">
      <c r="A118" s="916" t="s">
        <v>3171</v>
      </c>
      <c r="B118" s="916" t="s">
        <v>3172</v>
      </c>
      <c r="C118" s="916" t="s">
        <v>3173</v>
      </c>
      <c r="D118" s="715">
        <v>1500</v>
      </c>
    </row>
    <row r="119" spans="1:4">
      <c r="A119" s="916" t="s">
        <v>3174</v>
      </c>
      <c r="B119" s="916" t="s">
        <v>3175</v>
      </c>
      <c r="C119" s="916" t="s">
        <v>3176</v>
      </c>
      <c r="D119" s="715">
        <v>1500</v>
      </c>
    </row>
    <row r="120" spans="1:4">
      <c r="A120" s="916" t="s">
        <v>3177</v>
      </c>
      <c r="B120" s="916" t="s">
        <v>3178</v>
      </c>
      <c r="C120" s="916" t="s">
        <v>3179</v>
      </c>
      <c r="D120" s="715">
        <v>1500</v>
      </c>
    </row>
    <row r="121" spans="1:4">
      <c r="A121" s="916" t="s">
        <v>3180</v>
      </c>
      <c r="B121" s="916" t="s">
        <v>3181</v>
      </c>
      <c r="C121" s="916" t="s">
        <v>3182</v>
      </c>
      <c r="D121" s="715">
        <v>1500</v>
      </c>
    </row>
    <row r="122" spans="1:4">
      <c r="A122" s="916" t="s">
        <v>3183</v>
      </c>
      <c r="B122" s="916" t="s">
        <v>3184</v>
      </c>
      <c r="C122" s="916" t="s">
        <v>3185</v>
      </c>
      <c r="D122" s="715">
        <v>1500</v>
      </c>
    </row>
    <row r="123" spans="1:4">
      <c r="A123" s="916" t="s">
        <v>3186</v>
      </c>
      <c r="B123" s="916" t="s">
        <v>3187</v>
      </c>
      <c r="C123" s="916" t="s">
        <v>3188</v>
      </c>
      <c r="D123" s="715">
        <v>1500</v>
      </c>
    </row>
    <row r="124" spans="1:4">
      <c r="A124" s="916" t="s">
        <v>3189</v>
      </c>
      <c r="B124" s="916" t="s">
        <v>3190</v>
      </c>
      <c r="C124" s="916" t="s">
        <v>3191</v>
      </c>
      <c r="D124" s="715">
        <v>500</v>
      </c>
    </row>
    <row r="125" spans="1:4">
      <c r="A125" s="916" t="s">
        <v>3192</v>
      </c>
      <c r="B125" s="916" t="s">
        <v>3193</v>
      </c>
      <c r="C125" s="916" t="s">
        <v>3194</v>
      </c>
      <c r="D125" s="715">
        <v>1500</v>
      </c>
    </row>
    <row r="126" spans="1:4">
      <c r="A126" s="916" t="s">
        <v>3195</v>
      </c>
      <c r="B126" s="916" t="s">
        <v>3196</v>
      </c>
      <c r="C126" s="916" t="s">
        <v>3197</v>
      </c>
      <c r="D126" s="715">
        <v>3500</v>
      </c>
    </row>
    <row r="127" spans="1:4">
      <c r="A127" s="916" t="s">
        <v>3198</v>
      </c>
      <c r="B127" s="916" t="s">
        <v>3196</v>
      </c>
      <c r="C127" s="916" t="s">
        <v>3199</v>
      </c>
      <c r="D127" s="715">
        <v>1500</v>
      </c>
    </row>
    <row r="128" spans="1:4">
      <c r="A128" s="916" t="s">
        <v>3200</v>
      </c>
      <c r="B128" s="916" t="s">
        <v>3201</v>
      </c>
      <c r="C128" s="916" t="s">
        <v>3202</v>
      </c>
      <c r="D128" s="715">
        <v>1500</v>
      </c>
    </row>
    <row r="129" spans="1:4">
      <c r="A129" s="916" t="s">
        <v>3203</v>
      </c>
      <c r="B129" s="916" t="s">
        <v>3204</v>
      </c>
      <c r="C129" s="916" t="s">
        <v>3205</v>
      </c>
      <c r="D129" s="715">
        <v>7000</v>
      </c>
    </row>
    <row r="130" spans="1:4">
      <c r="A130" s="630" t="s">
        <v>2072</v>
      </c>
      <c r="B130" s="630"/>
      <c r="C130" s="630"/>
      <c r="D130" s="630"/>
    </row>
    <row r="131" spans="1:4">
      <c r="A131" s="1361" t="s">
        <v>3206</v>
      </c>
      <c r="B131" s="1356"/>
      <c r="C131" s="1356"/>
      <c r="D131" s="1356"/>
    </row>
    <row r="132" spans="1:4">
      <c r="A132" s="1361" t="s">
        <v>3207</v>
      </c>
      <c r="B132" s="1356"/>
      <c r="C132" s="1356"/>
      <c r="D132" s="1356"/>
    </row>
    <row r="133" spans="1:4">
      <c r="A133" s="1361" t="s">
        <v>3208</v>
      </c>
      <c r="B133" s="1356"/>
      <c r="C133" s="1356"/>
      <c r="D133" s="1356"/>
    </row>
    <row r="134" spans="1:4">
      <c r="A134" s="1361" t="s">
        <v>3209</v>
      </c>
      <c r="B134" s="1356"/>
      <c r="C134" s="1356"/>
      <c r="D134" s="1356"/>
    </row>
    <row r="135" spans="1:4">
      <c r="A135" s="1361" t="s">
        <v>3210</v>
      </c>
      <c r="B135" s="1356"/>
      <c r="C135" s="1356"/>
      <c r="D135" s="1356"/>
    </row>
    <row r="136" spans="1:4">
      <c r="A136" s="1361" t="s">
        <v>3211</v>
      </c>
      <c r="B136" s="1356"/>
      <c r="C136" s="1356"/>
      <c r="D136" s="1356"/>
    </row>
    <row r="137" spans="1:4">
      <c r="A137" s="1361" t="s">
        <v>3212</v>
      </c>
      <c r="B137" s="1356"/>
      <c r="C137" s="1356"/>
      <c r="D137" s="1356"/>
    </row>
    <row r="138" spans="1:4">
      <c r="A138" s="1361" t="s">
        <v>3213</v>
      </c>
      <c r="B138" s="1356"/>
      <c r="C138" s="1356"/>
      <c r="D138" s="1356"/>
    </row>
    <row r="139" spans="1:4">
      <c r="A139" s="1361" t="s">
        <v>3214</v>
      </c>
      <c r="B139" s="1356"/>
      <c r="C139" s="1356"/>
      <c r="D139" s="1356"/>
    </row>
  </sheetData>
  <mergeCells count="15">
    <mergeCell ref="A104:D104"/>
    <mergeCell ref="A1:D1"/>
    <mergeCell ref="A5:D5"/>
    <mergeCell ref="A16:D16"/>
    <mergeCell ref="A19:D19"/>
    <mergeCell ref="A33:D33"/>
    <mergeCell ref="A137:D137"/>
    <mergeCell ref="A138:D138"/>
    <mergeCell ref="A139:D139"/>
    <mergeCell ref="A131:D131"/>
    <mergeCell ref="A132:D132"/>
    <mergeCell ref="A133:D133"/>
    <mergeCell ref="A134:D134"/>
    <mergeCell ref="A135:D135"/>
    <mergeCell ref="A136:D136"/>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E575-7000-4B3A-85E4-669017F1A91D}">
  <sheetPr>
    <tabColor theme="8" tint="-0.249977111117893"/>
  </sheetPr>
  <dimension ref="A1:L88"/>
  <sheetViews>
    <sheetView zoomScaleNormal="100" workbookViewId="0">
      <selection activeCell="K25" sqref="K25"/>
    </sheetView>
  </sheetViews>
  <sheetFormatPr defaultColWidth="8.85546875" defaultRowHeight="12.75"/>
  <cols>
    <col min="1" max="2" width="64.7109375" style="630" bestFit="1" customWidth="1"/>
    <col min="3" max="3" width="26.140625" style="630" bestFit="1" customWidth="1"/>
    <col min="4" max="4" width="16" style="630" bestFit="1" customWidth="1"/>
    <col min="5" max="16384" width="8.85546875" style="630"/>
  </cols>
  <sheetData>
    <row r="1" spans="1:4">
      <c r="A1" s="1358" t="s">
        <v>3215</v>
      </c>
      <c r="B1" s="1356"/>
      <c r="C1" s="1356"/>
      <c r="D1" s="1356"/>
    </row>
    <row r="3" spans="1:4">
      <c r="A3" s="915" t="s">
        <v>2668</v>
      </c>
      <c r="B3" s="915" t="s">
        <v>48</v>
      </c>
      <c r="C3" s="915" t="s">
        <v>2669</v>
      </c>
      <c r="D3" s="915" t="s">
        <v>2670</v>
      </c>
    </row>
    <row r="4" spans="1:4" ht="14.25">
      <c r="A4" s="916" t="s">
        <v>3215</v>
      </c>
      <c r="B4" s="916" t="s">
        <v>2072</v>
      </c>
      <c r="C4" s="916" t="s">
        <v>3216</v>
      </c>
      <c r="D4" s="715">
        <v>0</v>
      </c>
    </row>
    <row r="5" spans="1:4">
      <c r="A5" s="630" t="s">
        <v>2072</v>
      </c>
    </row>
    <row r="6" spans="1:4">
      <c r="A6" s="1355" t="s">
        <v>3217</v>
      </c>
      <c r="B6" s="1356"/>
      <c r="C6" s="1356"/>
      <c r="D6" s="1356"/>
    </row>
    <row r="7" spans="1:4">
      <c r="A7" s="916" t="s">
        <v>3218</v>
      </c>
      <c r="B7" s="916" t="s">
        <v>3219</v>
      </c>
      <c r="C7" s="916" t="s">
        <v>3220</v>
      </c>
      <c r="D7" s="715">
        <v>2040</v>
      </c>
    </row>
    <row r="8" spans="1:4">
      <c r="A8" s="916" t="s">
        <v>3221</v>
      </c>
      <c r="B8" s="916" t="s">
        <v>3222</v>
      </c>
      <c r="C8" s="916" t="s">
        <v>3223</v>
      </c>
      <c r="D8" s="715">
        <v>204</v>
      </c>
    </row>
    <row r="10" spans="1:4">
      <c r="A10" s="1358" t="s">
        <v>3224</v>
      </c>
      <c r="B10" s="1356"/>
      <c r="C10" s="1356"/>
      <c r="D10" s="1356"/>
    </row>
    <row r="12" spans="1:4">
      <c r="A12" s="915" t="s">
        <v>2668</v>
      </c>
      <c r="B12" s="915" t="s">
        <v>48</v>
      </c>
      <c r="C12" s="915" t="s">
        <v>2669</v>
      </c>
      <c r="D12" s="915" t="s">
        <v>2670</v>
      </c>
    </row>
    <row r="13" spans="1:4" ht="14.25">
      <c r="A13" s="916" t="s">
        <v>3224</v>
      </c>
      <c r="B13" s="916" t="s">
        <v>3224</v>
      </c>
      <c r="C13" s="916" t="s">
        <v>3225</v>
      </c>
      <c r="D13" s="715">
        <v>2500</v>
      </c>
    </row>
    <row r="14" spans="1:4">
      <c r="A14" s="630" t="s">
        <v>2072</v>
      </c>
    </row>
    <row r="15" spans="1:4">
      <c r="A15" s="1355" t="s">
        <v>2180</v>
      </c>
      <c r="B15" s="1356"/>
      <c r="C15" s="1356"/>
      <c r="D15" s="1356"/>
    </row>
    <row r="16" spans="1:4">
      <c r="A16" s="916" t="s">
        <v>3226</v>
      </c>
      <c r="B16" s="916" t="s">
        <v>3227</v>
      </c>
      <c r="C16" s="916" t="s">
        <v>3228</v>
      </c>
      <c r="D16" s="715">
        <v>450</v>
      </c>
    </row>
    <row r="17" spans="1:4">
      <c r="A17" s="630" t="s">
        <v>2072</v>
      </c>
    </row>
    <row r="18" spans="1:4">
      <c r="A18" s="1355" t="s">
        <v>3229</v>
      </c>
      <c r="B18" s="1356"/>
      <c r="C18" s="1356"/>
      <c r="D18" s="1356"/>
    </row>
    <row r="19" spans="1:4">
      <c r="A19" s="916" t="s">
        <v>3230</v>
      </c>
      <c r="B19" s="916" t="s">
        <v>3231</v>
      </c>
      <c r="C19" s="916" t="s">
        <v>3232</v>
      </c>
      <c r="D19" s="715">
        <v>100</v>
      </c>
    </row>
    <row r="20" spans="1:4">
      <c r="A20" s="630" t="s">
        <v>2072</v>
      </c>
    </row>
    <row r="21" spans="1:4">
      <c r="A21" s="1361" t="s">
        <v>3233</v>
      </c>
      <c r="B21" s="1356"/>
      <c r="C21" s="1356"/>
      <c r="D21" s="1356"/>
    </row>
    <row r="24" spans="1:4">
      <c r="A24" s="915" t="s">
        <v>2668</v>
      </c>
      <c r="B24" s="915" t="s">
        <v>48</v>
      </c>
      <c r="C24" s="915" t="s">
        <v>2669</v>
      </c>
      <c r="D24" s="915" t="s">
        <v>2670</v>
      </c>
    </row>
    <row r="25" spans="1:4" ht="14.25">
      <c r="A25" s="916" t="s">
        <v>3234</v>
      </c>
      <c r="B25" s="916" t="s">
        <v>3234</v>
      </c>
      <c r="C25" s="916" t="s">
        <v>3235</v>
      </c>
      <c r="D25" s="715">
        <v>4500</v>
      </c>
    </row>
    <row r="26" spans="1:4">
      <c r="A26" s="630" t="s">
        <v>2072</v>
      </c>
    </row>
    <row r="27" spans="1:4">
      <c r="A27" s="1355" t="s">
        <v>1660</v>
      </c>
      <c r="B27" s="1356"/>
      <c r="C27" s="1356"/>
      <c r="D27" s="1356"/>
    </row>
    <row r="28" spans="1:4">
      <c r="A28" s="916" t="s">
        <v>2168</v>
      </c>
      <c r="B28" s="916" t="s">
        <v>2168</v>
      </c>
      <c r="C28" s="916" t="s">
        <v>2169</v>
      </c>
      <c r="D28" s="715">
        <v>5395</v>
      </c>
    </row>
    <row r="29" spans="1:4">
      <c r="A29" s="916" t="s">
        <v>2170</v>
      </c>
      <c r="B29" s="916" t="s">
        <v>2170</v>
      </c>
      <c r="C29" s="916" t="s">
        <v>2171</v>
      </c>
      <c r="D29" s="715">
        <v>12795</v>
      </c>
    </row>
    <row r="30" spans="1:4">
      <c r="A30" s="916" t="s">
        <v>2172</v>
      </c>
      <c r="B30" s="916" t="s">
        <v>2172</v>
      </c>
      <c r="C30" s="916" t="s">
        <v>2173</v>
      </c>
      <c r="D30" s="715">
        <v>23995</v>
      </c>
    </row>
    <row r="31" spans="1:4">
      <c r="A31" s="916" t="s">
        <v>2174</v>
      </c>
      <c r="B31" s="916" t="s">
        <v>2174</v>
      </c>
      <c r="C31" s="916" t="s">
        <v>2175</v>
      </c>
      <c r="D31" s="715">
        <v>44995</v>
      </c>
    </row>
    <row r="32" spans="1:4">
      <c r="A32" s="916" t="s">
        <v>2178</v>
      </c>
      <c r="B32" s="916" t="s">
        <v>2178</v>
      </c>
      <c r="C32" s="916" t="s">
        <v>2179</v>
      </c>
      <c r="D32" s="715">
        <v>210000</v>
      </c>
    </row>
    <row r="33" spans="1:12">
      <c r="A33" s="630" t="s">
        <v>2072</v>
      </c>
    </row>
    <row r="34" spans="1:12">
      <c r="A34" s="1355" t="s">
        <v>2180</v>
      </c>
      <c r="B34" s="1356"/>
      <c r="C34" s="1356"/>
      <c r="D34" s="1356"/>
    </row>
    <row r="35" spans="1:12">
      <c r="A35" s="916" t="s">
        <v>2181</v>
      </c>
      <c r="B35" s="916" t="s">
        <v>2181</v>
      </c>
      <c r="C35" s="916" t="s">
        <v>2182</v>
      </c>
      <c r="D35" s="715">
        <v>1079</v>
      </c>
    </row>
    <row r="36" spans="1:12">
      <c r="A36" s="916" t="s">
        <v>2183</v>
      </c>
      <c r="B36" s="916" t="s">
        <v>2183</v>
      </c>
      <c r="C36" s="916" t="s">
        <v>2184</v>
      </c>
      <c r="D36" s="715">
        <v>2559</v>
      </c>
    </row>
    <row r="37" spans="1:12">
      <c r="A37" s="916" t="s">
        <v>2185</v>
      </c>
      <c r="B37" s="916" t="s">
        <v>2185</v>
      </c>
      <c r="C37" s="916" t="s">
        <v>2186</v>
      </c>
      <c r="D37" s="715">
        <v>4799</v>
      </c>
    </row>
    <row r="38" spans="1:12">
      <c r="A38" s="916" t="s">
        <v>2187</v>
      </c>
      <c r="B38" s="916" t="s">
        <v>2187</v>
      </c>
      <c r="C38" s="916" t="s">
        <v>2188</v>
      </c>
      <c r="D38" s="715">
        <v>8999</v>
      </c>
    </row>
    <row r="39" spans="1:12">
      <c r="A39" s="916" t="s">
        <v>2189</v>
      </c>
      <c r="B39" s="916" t="s">
        <v>2189</v>
      </c>
      <c r="C39" s="916" t="s">
        <v>2190</v>
      </c>
      <c r="D39" s="715">
        <v>3075</v>
      </c>
      <c r="L39" s="630">
        <f>F39*0.0256</f>
        <v>0</v>
      </c>
    </row>
    <row r="40" spans="1:12">
      <c r="A40" s="916" t="s">
        <v>2191</v>
      </c>
      <c r="B40" s="916" t="s">
        <v>2191</v>
      </c>
      <c r="C40" s="916" t="s">
        <v>2192</v>
      </c>
      <c r="D40" s="715">
        <v>7293</v>
      </c>
    </row>
    <row r="41" spans="1:12">
      <c r="A41" s="916" t="s">
        <v>2193</v>
      </c>
      <c r="B41" s="916" t="s">
        <v>2193</v>
      </c>
      <c r="C41" s="916" t="s">
        <v>2194</v>
      </c>
      <c r="D41" s="715">
        <v>13677</v>
      </c>
    </row>
    <row r="42" spans="1:12">
      <c r="A42" s="916" t="s">
        <v>2195</v>
      </c>
      <c r="B42" s="916" t="s">
        <v>2195</v>
      </c>
      <c r="C42" s="916" t="s">
        <v>2196</v>
      </c>
      <c r="D42" s="715">
        <v>25647</v>
      </c>
    </row>
    <row r="43" spans="1:12">
      <c r="A43" s="916" t="s">
        <v>2197</v>
      </c>
      <c r="B43" s="916" t="s">
        <v>2197</v>
      </c>
      <c r="C43" s="916" t="s">
        <v>2198</v>
      </c>
      <c r="D43" s="715">
        <v>4856</v>
      </c>
    </row>
    <row r="44" spans="1:12">
      <c r="A44" s="916" t="s">
        <v>2199</v>
      </c>
      <c r="B44" s="916" t="s">
        <v>2199</v>
      </c>
      <c r="C44" s="916" t="s">
        <v>2200</v>
      </c>
      <c r="D44" s="715">
        <v>11516</v>
      </c>
    </row>
    <row r="45" spans="1:12">
      <c r="A45" s="916" t="s">
        <v>2201</v>
      </c>
      <c r="B45" s="916" t="s">
        <v>2201</v>
      </c>
      <c r="C45" s="916" t="s">
        <v>2202</v>
      </c>
      <c r="D45" s="715">
        <v>21596</v>
      </c>
    </row>
    <row r="46" spans="1:12">
      <c r="A46" s="916" t="s">
        <v>2203</v>
      </c>
      <c r="B46" s="916" t="s">
        <v>2203</v>
      </c>
      <c r="C46" s="916" t="s">
        <v>2204</v>
      </c>
      <c r="D46" s="715">
        <v>40496</v>
      </c>
    </row>
    <row r="47" spans="1:12">
      <c r="A47" s="916" t="s">
        <v>2217</v>
      </c>
      <c r="B47" s="916" t="s">
        <v>2217</v>
      </c>
      <c r="C47" s="916" t="s">
        <v>2218</v>
      </c>
      <c r="D47" s="715">
        <v>42000</v>
      </c>
    </row>
    <row r="48" spans="1:12">
      <c r="A48" s="916" t="s">
        <v>2219</v>
      </c>
      <c r="B48" s="916" t="s">
        <v>2219</v>
      </c>
      <c r="C48" s="916" t="s">
        <v>2220</v>
      </c>
      <c r="D48" s="715">
        <v>119700</v>
      </c>
    </row>
    <row r="49" spans="1:4">
      <c r="A49" s="916" t="s">
        <v>2221</v>
      </c>
      <c r="B49" s="916" t="s">
        <v>2221</v>
      </c>
      <c r="C49" s="916" t="s">
        <v>2222</v>
      </c>
      <c r="D49" s="715">
        <v>189000</v>
      </c>
    </row>
    <row r="50" spans="1:4">
      <c r="A50" s="916" t="s">
        <v>3236</v>
      </c>
      <c r="B50" s="916" t="s">
        <v>3236</v>
      </c>
      <c r="C50" s="916" t="s">
        <v>3237</v>
      </c>
      <c r="D50" s="715">
        <v>1980</v>
      </c>
    </row>
    <row r="51" spans="1:4">
      <c r="A51" s="916" t="s">
        <v>3238</v>
      </c>
      <c r="B51" s="916" t="s">
        <v>3238</v>
      </c>
      <c r="C51" s="916" t="s">
        <v>3239</v>
      </c>
      <c r="D51" s="715">
        <v>1200</v>
      </c>
    </row>
    <row r="52" spans="1:4">
      <c r="A52" s="916" t="s">
        <v>3240</v>
      </c>
      <c r="B52" s="916" t="s">
        <v>3240</v>
      </c>
      <c r="C52" s="916" t="s">
        <v>3241</v>
      </c>
      <c r="D52" s="715">
        <v>3420</v>
      </c>
    </row>
    <row r="53" spans="1:4">
      <c r="A53" s="916" t="s">
        <v>3242</v>
      </c>
      <c r="B53" s="916" t="s">
        <v>3242</v>
      </c>
      <c r="C53" s="916" t="s">
        <v>3243</v>
      </c>
      <c r="D53" s="715">
        <v>5400</v>
      </c>
    </row>
    <row r="54" spans="1:4">
      <c r="A54" s="630" t="s">
        <v>2072</v>
      </c>
    </row>
    <row r="55" spans="1:4">
      <c r="A55" s="1355" t="s">
        <v>2223</v>
      </c>
      <c r="B55" s="1356"/>
      <c r="C55" s="1356"/>
      <c r="D55" s="1356"/>
    </row>
    <row r="56" spans="1:4">
      <c r="A56" s="916" t="s">
        <v>3244</v>
      </c>
      <c r="B56" s="916" t="s">
        <v>3244</v>
      </c>
      <c r="C56" s="916" t="s">
        <v>3245</v>
      </c>
      <c r="D56" s="715">
        <v>1500</v>
      </c>
    </row>
    <row r="57" spans="1:4">
      <c r="A57" s="916" t="s">
        <v>3246</v>
      </c>
      <c r="B57" s="916" t="s">
        <v>3246</v>
      </c>
      <c r="C57" s="916" t="s">
        <v>3247</v>
      </c>
      <c r="D57" s="715">
        <v>4000</v>
      </c>
    </row>
    <row r="58" spans="1:4">
      <c r="A58" s="916" t="s">
        <v>3248</v>
      </c>
      <c r="B58" s="916" t="s">
        <v>3248</v>
      </c>
      <c r="C58" s="916" t="s">
        <v>3249</v>
      </c>
      <c r="D58" s="715">
        <v>4000</v>
      </c>
    </row>
    <row r="59" spans="1:4">
      <c r="A59" s="916" t="s">
        <v>3250</v>
      </c>
      <c r="B59" s="916" t="s">
        <v>3250</v>
      </c>
      <c r="C59" s="916" t="s">
        <v>3251</v>
      </c>
      <c r="D59" s="715">
        <v>800</v>
      </c>
    </row>
    <row r="60" spans="1:4">
      <c r="A60" s="916" t="s">
        <v>3252</v>
      </c>
      <c r="B60" s="916" t="s">
        <v>3252</v>
      </c>
      <c r="C60" s="916" t="s">
        <v>3253</v>
      </c>
      <c r="D60" s="715">
        <v>5200</v>
      </c>
    </row>
    <row r="61" spans="1:4">
      <c r="A61" s="630" t="s">
        <v>2072</v>
      </c>
    </row>
    <row r="62" spans="1:4">
      <c r="A62" s="1355" t="s">
        <v>2321</v>
      </c>
      <c r="B62" s="1356"/>
      <c r="C62" s="1356"/>
      <c r="D62" s="1356"/>
    </row>
    <row r="63" spans="1:4">
      <c r="A63" s="916" t="s">
        <v>3254</v>
      </c>
      <c r="B63" s="916" t="s">
        <v>3254</v>
      </c>
      <c r="C63" s="916" t="s">
        <v>3255</v>
      </c>
      <c r="D63" s="715">
        <v>300</v>
      </c>
    </row>
    <row r="64" spans="1:4">
      <c r="A64" s="916" t="s">
        <v>3256</v>
      </c>
      <c r="B64" s="916" t="s">
        <v>3256</v>
      </c>
      <c r="C64" s="916" t="s">
        <v>3257</v>
      </c>
      <c r="D64" s="715">
        <v>855</v>
      </c>
    </row>
    <row r="65" spans="1:4">
      <c r="A65" s="916" t="s">
        <v>3258</v>
      </c>
      <c r="B65" s="916" t="s">
        <v>3258</v>
      </c>
      <c r="C65" s="916" t="s">
        <v>3259</v>
      </c>
      <c r="D65" s="715">
        <v>1350</v>
      </c>
    </row>
    <row r="66" spans="1:4">
      <c r="A66" s="916" t="s">
        <v>3260</v>
      </c>
      <c r="B66" s="916" t="s">
        <v>3260</v>
      </c>
      <c r="C66" s="916" t="s">
        <v>3261</v>
      </c>
      <c r="D66" s="715">
        <v>800</v>
      </c>
    </row>
    <row r="67" spans="1:4">
      <c r="A67" s="916" t="s">
        <v>3262</v>
      </c>
      <c r="B67" s="916" t="s">
        <v>3262</v>
      </c>
      <c r="C67" s="916" t="s">
        <v>3263</v>
      </c>
      <c r="D67" s="715">
        <v>2280</v>
      </c>
    </row>
    <row r="68" spans="1:4">
      <c r="A68" s="916" t="s">
        <v>3264</v>
      </c>
      <c r="B68" s="916" t="s">
        <v>3264</v>
      </c>
      <c r="C68" s="916" t="s">
        <v>3265</v>
      </c>
      <c r="D68" s="715">
        <v>3600</v>
      </c>
    </row>
    <row r="69" spans="1:4">
      <c r="A69" s="916" t="s">
        <v>3266</v>
      </c>
      <c r="B69" s="916" t="s">
        <v>3266</v>
      </c>
      <c r="C69" s="916" t="s">
        <v>3267</v>
      </c>
      <c r="D69" s="715">
        <v>800</v>
      </c>
    </row>
    <row r="70" spans="1:4">
      <c r="A70" s="916" t="s">
        <v>3268</v>
      </c>
      <c r="B70" s="916" t="s">
        <v>3268</v>
      </c>
      <c r="C70" s="916" t="s">
        <v>3269</v>
      </c>
      <c r="D70" s="715">
        <v>2280</v>
      </c>
    </row>
    <row r="71" spans="1:4">
      <c r="A71" s="916" t="s">
        <v>3270</v>
      </c>
      <c r="B71" s="916" t="s">
        <v>3270</v>
      </c>
      <c r="C71" s="916" t="s">
        <v>3271</v>
      </c>
      <c r="D71" s="715">
        <v>3600</v>
      </c>
    </row>
    <row r="72" spans="1:4">
      <c r="A72" s="916" t="s">
        <v>3272</v>
      </c>
      <c r="B72" s="916" t="s">
        <v>3272</v>
      </c>
      <c r="C72" s="916" t="s">
        <v>3273</v>
      </c>
      <c r="D72" s="715">
        <v>160</v>
      </c>
    </row>
    <row r="73" spans="1:4">
      <c r="A73" s="916" t="s">
        <v>3274</v>
      </c>
      <c r="B73" s="916" t="s">
        <v>3274</v>
      </c>
      <c r="C73" s="916" t="s">
        <v>3275</v>
      </c>
      <c r="D73" s="715">
        <v>456</v>
      </c>
    </row>
    <row r="74" spans="1:4">
      <c r="A74" s="916" t="s">
        <v>3276</v>
      </c>
      <c r="B74" s="916" t="s">
        <v>3276</v>
      </c>
      <c r="C74" s="916" t="s">
        <v>3277</v>
      </c>
      <c r="D74" s="715">
        <v>720</v>
      </c>
    </row>
    <row r="75" spans="1:4">
      <c r="A75" s="916" t="s">
        <v>3278</v>
      </c>
      <c r="B75" s="916" t="s">
        <v>3278</v>
      </c>
      <c r="C75" s="916" t="s">
        <v>3279</v>
      </c>
      <c r="D75" s="715">
        <v>1040</v>
      </c>
    </row>
    <row r="76" spans="1:4">
      <c r="A76" s="916" t="s">
        <v>3280</v>
      </c>
      <c r="B76" s="916" t="s">
        <v>3280</v>
      </c>
      <c r="C76" s="916" t="s">
        <v>3281</v>
      </c>
      <c r="D76" s="715">
        <v>2964</v>
      </c>
    </row>
    <row r="77" spans="1:4">
      <c r="A77" s="916" t="s">
        <v>3282</v>
      </c>
      <c r="B77" s="916" t="s">
        <v>3282</v>
      </c>
      <c r="C77" s="916" t="s">
        <v>3283</v>
      </c>
      <c r="D77" s="715">
        <v>4680</v>
      </c>
    </row>
    <row r="78" spans="1:4">
      <c r="A78" s="916" t="s">
        <v>2508</v>
      </c>
      <c r="B78" s="916" t="s">
        <v>2509</v>
      </c>
      <c r="C78" s="916" t="s">
        <v>2510</v>
      </c>
      <c r="D78" s="715">
        <v>80</v>
      </c>
    </row>
    <row r="79" spans="1:4">
      <c r="A79" s="916" t="s">
        <v>2511</v>
      </c>
      <c r="B79" s="916" t="s">
        <v>2512</v>
      </c>
      <c r="C79" s="916" t="s">
        <v>2513</v>
      </c>
      <c r="D79" s="715">
        <v>228</v>
      </c>
    </row>
    <row r="80" spans="1:4">
      <c r="A80" s="916" t="s">
        <v>2514</v>
      </c>
      <c r="B80" s="916" t="s">
        <v>2515</v>
      </c>
      <c r="C80" s="916" t="s">
        <v>2516</v>
      </c>
      <c r="D80" s="715">
        <v>360</v>
      </c>
    </row>
    <row r="81" spans="1:4">
      <c r="A81" s="630" t="s">
        <v>2072</v>
      </c>
    </row>
    <row r="82" spans="1:4">
      <c r="A82" s="1355" t="s">
        <v>1833</v>
      </c>
      <c r="B82" s="1356"/>
      <c r="C82" s="1356"/>
      <c r="D82" s="1356"/>
    </row>
    <row r="83" spans="1:4">
      <c r="A83" s="916" t="s">
        <v>2604</v>
      </c>
      <c r="B83" s="916" t="s">
        <v>2604</v>
      </c>
      <c r="C83" s="916" t="s">
        <v>2605</v>
      </c>
      <c r="D83" s="715">
        <v>350</v>
      </c>
    </row>
    <row r="84" spans="1:4">
      <c r="A84" s="916" t="s">
        <v>2606</v>
      </c>
      <c r="B84" s="916" t="s">
        <v>2606</v>
      </c>
      <c r="C84" s="916" t="s">
        <v>2607</v>
      </c>
      <c r="D84" s="715">
        <v>800</v>
      </c>
    </row>
    <row r="85" spans="1:4">
      <c r="A85" s="916" t="s">
        <v>3284</v>
      </c>
      <c r="B85" s="916" t="s">
        <v>3284</v>
      </c>
      <c r="C85" s="916" t="s">
        <v>3285</v>
      </c>
      <c r="D85" s="715">
        <v>650</v>
      </c>
    </row>
    <row r="86" spans="1:4">
      <c r="A86" s="916" t="s">
        <v>3286</v>
      </c>
      <c r="B86" s="916" t="s">
        <v>3286</v>
      </c>
      <c r="C86" s="916" t="s">
        <v>3287</v>
      </c>
      <c r="D86" s="715">
        <v>1300</v>
      </c>
    </row>
    <row r="87" spans="1:4">
      <c r="A87" s="630" t="s">
        <v>2072</v>
      </c>
    </row>
    <row r="88" spans="1:4">
      <c r="A88" s="1361" t="s">
        <v>3288</v>
      </c>
      <c r="B88" s="1356"/>
      <c r="C88" s="1356"/>
      <c r="D88" s="1356"/>
    </row>
  </sheetData>
  <mergeCells count="12">
    <mergeCell ref="A88:D88"/>
    <mergeCell ref="A1:D1"/>
    <mergeCell ref="A6:D6"/>
    <mergeCell ref="A10:D10"/>
    <mergeCell ref="A15:D15"/>
    <mergeCell ref="A18:D18"/>
    <mergeCell ref="A21:D21"/>
    <mergeCell ref="A27:D27"/>
    <mergeCell ref="A34:D34"/>
    <mergeCell ref="A55:D55"/>
    <mergeCell ref="A62:D62"/>
    <mergeCell ref="A82:D82"/>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EC69-0B7B-469A-9D93-9DA9737CDFA5}">
  <sheetPr>
    <tabColor rgb="FFFF0000"/>
  </sheetPr>
  <dimension ref="A1:L39"/>
  <sheetViews>
    <sheetView zoomScaleNormal="100" workbookViewId="0">
      <selection activeCell="K25" sqref="K25"/>
    </sheetView>
  </sheetViews>
  <sheetFormatPr defaultColWidth="8.85546875" defaultRowHeight="12.75"/>
  <cols>
    <col min="1" max="1" width="28.42578125" style="630" bestFit="1" customWidth="1"/>
    <col min="2" max="2" width="24.7109375" style="630" bestFit="1" customWidth="1"/>
    <col min="3" max="3" width="12.28515625" style="630" bestFit="1" customWidth="1"/>
    <col min="4" max="4" width="16" style="630" bestFit="1" customWidth="1"/>
    <col min="5" max="16384" width="8.85546875" style="630"/>
  </cols>
  <sheetData>
    <row r="1" spans="1:4" s="920" customFormat="1" ht="30">
      <c r="A1" s="1357" t="s">
        <v>3289</v>
      </c>
      <c r="B1" s="1368"/>
      <c r="C1" s="1368"/>
      <c r="D1" s="1368"/>
    </row>
    <row r="2" spans="1:4">
      <c r="A2" s="919" t="s">
        <v>2668</v>
      </c>
      <c r="B2" s="919" t="s">
        <v>48</v>
      </c>
      <c r="C2" s="919" t="s">
        <v>2669</v>
      </c>
      <c r="D2" s="919" t="s">
        <v>2670</v>
      </c>
    </row>
    <row r="3" spans="1:4" ht="63.4" customHeight="1">
      <c r="A3" s="630" t="s">
        <v>2072</v>
      </c>
    </row>
    <row r="4" spans="1:4">
      <c r="A4" s="916" t="s">
        <v>3290</v>
      </c>
      <c r="B4" s="916" t="s">
        <v>3291</v>
      </c>
      <c r="C4" s="916" t="s">
        <v>3292</v>
      </c>
      <c r="D4" s="715">
        <v>79</v>
      </c>
    </row>
    <row r="5" spans="1:4">
      <c r="A5" s="916" t="s">
        <v>3293</v>
      </c>
      <c r="B5" s="916" t="s">
        <v>3291</v>
      </c>
      <c r="C5" s="916" t="s">
        <v>3294</v>
      </c>
      <c r="D5" s="715">
        <v>207</v>
      </c>
    </row>
    <row r="6" spans="1:4">
      <c r="A6" s="916" t="s">
        <v>3295</v>
      </c>
      <c r="B6" s="916" t="s">
        <v>3291</v>
      </c>
      <c r="C6" s="916" t="s">
        <v>3296</v>
      </c>
      <c r="D6" s="715">
        <v>256</v>
      </c>
    </row>
    <row r="7" spans="1:4">
      <c r="A7" s="916" t="s">
        <v>3297</v>
      </c>
      <c r="B7" s="916" t="s">
        <v>3291</v>
      </c>
      <c r="C7" s="916" t="s">
        <v>3298</v>
      </c>
      <c r="D7" s="715">
        <v>295</v>
      </c>
    </row>
    <row r="39" spans="12:12">
      <c r="L39" s="630">
        <f>F39*0.0256</f>
        <v>0</v>
      </c>
    </row>
  </sheetData>
  <mergeCells count="1">
    <mergeCell ref="A1:D1"/>
  </mergeCell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BD4D4-1681-4A9A-9DFB-6CFBC15644AF}">
  <sheetPr>
    <tabColor theme="7" tint="-0.499984740745262"/>
  </sheetPr>
  <dimension ref="A1:L39"/>
  <sheetViews>
    <sheetView zoomScaleNormal="100" workbookViewId="0">
      <selection activeCell="K25" sqref="K25"/>
    </sheetView>
  </sheetViews>
  <sheetFormatPr defaultColWidth="8.85546875" defaultRowHeight="12.75"/>
  <cols>
    <col min="1" max="1" width="46" style="630" bestFit="1" customWidth="1"/>
    <col min="2" max="2" width="72.140625" style="630" bestFit="1" customWidth="1"/>
    <col min="3" max="3" width="12.28515625" style="630" bestFit="1" customWidth="1"/>
    <col min="4" max="4" width="16" style="630" bestFit="1" customWidth="1"/>
    <col min="5" max="16384" width="8.85546875" style="630"/>
  </cols>
  <sheetData>
    <row r="1" spans="1:4" s="921" customFormat="1" ht="27">
      <c r="A1" s="1369" t="s">
        <v>3299</v>
      </c>
      <c r="B1" s="1370"/>
      <c r="C1" s="1370"/>
      <c r="D1" s="1370"/>
    </row>
    <row r="2" spans="1:4">
      <c r="A2" s="915" t="s">
        <v>2668</v>
      </c>
      <c r="B2" s="915" t="s">
        <v>48</v>
      </c>
      <c r="C2" s="915" t="s">
        <v>2669</v>
      </c>
      <c r="D2" s="915" t="s">
        <v>2670</v>
      </c>
    </row>
    <row r="3" spans="1:4">
      <c r="A3" s="630" t="s">
        <v>2072</v>
      </c>
    </row>
    <row r="4" spans="1:4">
      <c r="A4" s="1355" t="s">
        <v>1660</v>
      </c>
      <c r="B4" s="1356"/>
      <c r="C4" s="1356"/>
      <c r="D4" s="1356"/>
    </row>
    <row r="5" spans="1:4">
      <c r="A5" s="916" t="s">
        <v>3300</v>
      </c>
      <c r="B5" s="916" t="s">
        <v>3301</v>
      </c>
      <c r="C5" s="916" t="s">
        <v>3302</v>
      </c>
      <c r="D5" s="715">
        <v>1100</v>
      </c>
    </row>
    <row r="6" spans="1:4">
      <c r="A6" s="916" t="s">
        <v>3303</v>
      </c>
      <c r="B6" s="916" t="s">
        <v>3304</v>
      </c>
      <c r="C6" s="916" t="s">
        <v>3305</v>
      </c>
      <c r="D6" s="715">
        <v>6000</v>
      </c>
    </row>
    <row r="7" spans="1:4">
      <c r="A7" s="630" t="s">
        <v>2072</v>
      </c>
    </row>
    <row r="8" spans="1:4">
      <c r="A8" s="1355" t="s">
        <v>2180</v>
      </c>
      <c r="B8" s="1356"/>
      <c r="C8" s="1356"/>
      <c r="D8" s="1356"/>
    </row>
    <row r="9" spans="1:4">
      <c r="A9" s="916" t="s">
        <v>3306</v>
      </c>
      <c r="B9" s="916" t="s">
        <v>3307</v>
      </c>
      <c r="C9" s="916" t="s">
        <v>3308</v>
      </c>
      <c r="D9" s="715">
        <v>220</v>
      </c>
    </row>
    <row r="10" spans="1:4">
      <c r="A10" s="916" t="s">
        <v>3309</v>
      </c>
      <c r="B10" s="916" t="s">
        <v>3310</v>
      </c>
      <c r="C10" s="916" t="s">
        <v>3311</v>
      </c>
      <c r="D10" s="715">
        <v>1200</v>
      </c>
    </row>
    <row r="11" spans="1:4">
      <c r="A11" s="630" t="s">
        <v>2072</v>
      </c>
    </row>
    <row r="12" spans="1:4">
      <c r="A12" s="1355" t="s">
        <v>3312</v>
      </c>
      <c r="B12" s="1356"/>
      <c r="C12" s="1356"/>
      <c r="D12" s="1356"/>
    </row>
    <row r="13" spans="1:4">
      <c r="A13" s="916" t="s">
        <v>3313</v>
      </c>
      <c r="B13" s="916" t="s">
        <v>3314</v>
      </c>
      <c r="C13" s="916" t="s">
        <v>3315</v>
      </c>
      <c r="D13" s="715">
        <v>220</v>
      </c>
    </row>
    <row r="14" spans="1:4">
      <c r="A14" s="916" t="s">
        <v>3316</v>
      </c>
      <c r="B14" s="916" t="s">
        <v>3317</v>
      </c>
      <c r="C14" s="916" t="s">
        <v>3318</v>
      </c>
      <c r="D14" s="715">
        <v>1200</v>
      </c>
    </row>
    <row r="15" spans="1:4">
      <c r="A15" s="630" t="s">
        <v>2072</v>
      </c>
    </row>
    <row r="16" spans="1:4">
      <c r="A16" s="1355" t="s">
        <v>3319</v>
      </c>
      <c r="B16" s="1356"/>
      <c r="C16" s="1356"/>
      <c r="D16" s="1356"/>
    </row>
    <row r="17" spans="1:4">
      <c r="A17" s="916" t="s">
        <v>3320</v>
      </c>
      <c r="B17" s="916" t="s">
        <v>3321</v>
      </c>
      <c r="C17" s="916" t="s">
        <v>3322</v>
      </c>
      <c r="D17" s="715">
        <v>440</v>
      </c>
    </row>
    <row r="18" spans="1:4">
      <c r="A18" s="916" t="s">
        <v>3323</v>
      </c>
      <c r="B18" s="916" t="s">
        <v>3324</v>
      </c>
      <c r="C18" s="916" t="s">
        <v>3325</v>
      </c>
      <c r="D18" s="715">
        <v>2400</v>
      </c>
    </row>
    <row r="19" spans="1:4">
      <c r="A19" s="630" t="s">
        <v>2072</v>
      </c>
    </row>
    <row r="20" spans="1:4">
      <c r="A20" s="1355" t="s">
        <v>3326</v>
      </c>
      <c r="B20" s="1356"/>
      <c r="C20" s="1356"/>
      <c r="D20" s="1356"/>
    </row>
    <row r="21" spans="1:4">
      <c r="A21" s="916" t="s">
        <v>3327</v>
      </c>
      <c r="B21" s="916" t="s">
        <v>3328</v>
      </c>
      <c r="C21" s="916" t="s">
        <v>3329</v>
      </c>
      <c r="D21" s="715">
        <v>5400</v>
      </c>
    </row>
    <row r="22" spans="1:4">
      <c r="A22" s="916" t="s">
        <v>3330</v>
      </c>
      <c r="B22" s="916" t="s">
        <v>3331</v>
      </c>
      <c r="C22" s="916" t="s">
        <v>3332</v>
      </c>
      <c r="D22" s="715">
        <v>1080</v>
      </c>
    </row>
    <row r="23" spans="1:4">
      <c r="A23" s="916" t="s">
        <v>3333</v>
      </c>
      <c r="B23" s="916" t="s">
        <v>3334</v>
      </c>
      <c r="C23" s="916" t="s">
        <v>3335</v>
      </c>
      <c r="D23" s="715">
        <v>3000</v>
      </c>
    </row>
    <row r="24" spans="1:4">
      <c r="A24" s="630" t="s">
        <v>2072</v>
      </c>
    </row>
    <row r="25" spans="1:4">
      <c r="A25" s="1361" t="s">
        <v>3336</v>
      </c>
      <c r="B25" s="1356"/>
      <c r="C25" s="1356"/>
      <c r="D25" s="1356"/>
    </row>
    <row r="39" spans="12:12">
      <c r="L39" s="630">
        <f>F39*0.0256</f>
        <v>0</v>
      </c>
    </row>
  </sheetData>
  <mergeCells count="7">
    <mergeCell ref="A25:D25"/>
    <mergeCell ref="A1:D1"/>
    <mergeCell ref="A4:D4"/>
    <mergeCell ref="A8:D8"/>
    <mergeCell ref="A12:D12"/>
    <mergeCell ref="A16:D16"/>
    <mergeCell ref="A20:D20"/>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7022-99F8-4BFA-8CD8-0A563B0DB209}">
  <sheetPr>
    <tabColor rgb="FFCC00FF"/>
  </sheetPr>
  <dimension ref="A1:L200"/>
  <sheetViews>
    <sheetView zoomScaleNormal="100" workbookViewId="0">
      <selection activeCell="K25" sqref="K25"/>
    </sheetView>
  </sheetViews>
  <sheetFormatPr defaultColWidth="8.85546875" defaultRowHeight="12.75"/>
  <cols>
    <col min="1" max="1" width="46.42578125" style="630" bestFit="1" customWidth="1"/>
    <col min="2" max="2" width="92.42578125" style="630" bestFit="1" customWidth="1"/>
    <col min="3" max="3" width="12.28515625" style="630" bestFit="1" customWidth="1"/>
    <col min="4" max="4" width="16" style="630" bestFit="1" customWidth="1"/>
    <col min="5" max="16384" width="8.85546875" style="630"/>
  </cols>
  <sheetData>
    <row r="1" spans="1:4" ht="34.5">
      <c r="A1" s="1371" t="s">
        <v>3337</v>
      </c>
      <c r="B1" s="1372"/>
      <c r="C1" s="1372"/>
      <c r="D1" s="1372"/>
    </row>
    <row r="3" spans="1:4">
      <c r="A3" s="919" t="s">
        <v>2668</v>
      </c>
      <c r="B3" s="919" t="s">
        <v>48</v>
      </c>
      <c r="C3" s="919" t="s">
        <v>2669</v>
      </c>
      <c r="D3" s="919" t="s">
        <v>2670</v>
      </c>
    </row>
    <row r="4" spans="1:4">
      <c r="A4" s="630" t="s">
        <v>2072</v>
      </c>
    </row>
    <row r="5" spans="1:4">
      <c r="A5" s="1367" t="s">
        <v>3338</v>
      </c>
      <c r="B5" s="1356"/>
      <c r="C5" s="1356"/>
      <c r="D5" s="1356"/>
    </row>
    <row r="6" spans="1:4">
      <c r="A6" s="916" t="s">
        <v>3339</v>
      </c>
      <c r="B6" s="916" t="s">
        <v>3340</v>
      </c>
      <c r="C6" s="916" t="s">
        <v>3341</v>
      </c>
      <c r="D6" s="715">
        <v>4200</v>
      </c>
    </row>
    <row r="7" spans="1:4">
      <c r="A7" s="916" t="s">
        <v>3342</v>
      </c>
      <c r="B7" s="916" t="s">
        <v>3343</v>
      </c>
      <c r="C7" s="916" t="s">
        <v>3344</v>
      </c>
      <c r="D7" s="715">
        <v>3200</v>
      </c>
    </row>
    <row r="8" spans="1:4">
      <c r="A8" s="916" t="s">
        <v>3345</v>
      </c>
      <c r="B8" s="916" t="s">
        <v>3346</v>
      </c>
      <c r="C8" s="916" t="s">
        <v>3347</v>
      </c>
      <c r="D8" s="715">
        <v>9100</v>
      </c>
    </row>
    <row r="9" spans="1:4">
      <c r="A9" s="916" t="s">
        <v>3348</v>
      </c>
      <c r="B9" s="916" t="s">
        <v>3349</v>
      </c>
      <c r="C9" s="916" t="s">
        <v>3350</v>
      </c>
      <c r="D9" s="715">
        <v>6800</v>
      </c>
    </row>
    <row r="10" spans="1:4">
      <c r="A10" s="916" t="s">
        <v>3351</v>
      </c>
      <c r="B10" s="916" t="s">
        <v>3352</v>
      </c>
      <c r="C10" s="916" t="s">
        <v>3353</v>
      </c>
      <c r="D10" s="715">
        <v>15100</v>
      </c>
    </row>
    <row r="11" spans="1:4">
      <c r="A11" s="916" t="s">
        <v>3354</v>
      </c>
      <c r="B11" s="916" t="s">
        <v>3355</v>
      </c>
      <c r="C11" s="916" t="s">
        <v>3356</v>
      </c>
      <c r="D11" s="715">
        <v>11300</v>
      </c>
    </row>
    <row r="12" spans="1:4">
      <c r="A12" s="916" t="s">
        <v>3357</v>
      </c>
      <c r="B12" s="916" t="s">
        <v>3358</v>
      </c>
      <c r="C12" s="916" t="s">
        <v>3359</v>
      </c>
      <c r="D12" s="715">
        <v>4800</v>
      </c>
    </row>
    <row r="13" spans="1:4">
      <c r="A13" s="916" t="s">
        <v>3360</v>
      </c>
      <c r="B13" s="916" t="s">
        <v>3361</v>
      </c>
      <c r="C13" s="916" t="s">
        <v>3362</v>
      </c>
      <c r="D13" s="715">
        <v>3600</v>
      </c>
    </row>
    <row r="14" spans="1:4" ht="14.25">
      <c r="A14" s="916" t="s">
        <v>3363</v>
      </c>
      <c r="B14" s="916" t="s">
        <v>3364</v>
      </c>
      <c r="C14" s="916" t="s">
        <v>3365</v>
      </c>
      <c r="D14" s="715">
        <v>1750</v>
      </c>
    </row>
    <row r="15" spans="1:4" ht="14.25">
      <c r="A15" s="916" t="s">
        <v>3366</v>
      </c>
      <c r="B15" s="916" t="s">
        <v>3367</v>
      </c>
      <c r="C15" s="916" t="s">
        <v>3368</v>
      </c>
      <c r="D15" s="715">
        <v>3750</v>
      </c>
    </row>
    <row r="16" spans="1:4" ht="14.25">
      <c r="A16" s="916" t="s">
        <v>3369</v>
      </c>
      <c r="B16" s="916" t="s">
        <v>3370</v>
      </c>
      <c r="C16" s="916" t="s">
        <v>3371</v>
      </c>
      <c r="D16" s="715">
        <v>6250</v>
      </c>
    </row>
    <row r="17" spans="1:4" ht="14.25">
      <c r="A17" s="916" t="s">
        <v>3372</v>
      </c>
      <c r="B17" s="916" t="s">
        <v>3373</v>
      </c>
      <c r="C17" s="916" t="s">
        <v>3374</v>
      </c>
      <c r="D17" s="715">
        <v>2000</v>
      </c>
    </row>
    <row r="18" spans="1:4">
      <c r="A18" s="630" t="s">
        <v>2072</v>
      </c>
    </row>
    <row r="19" spans="1:4">
      <c r="A19" s="1355" t="s">
        <v>3375</v>
      </c>
      <c r="B19" s="1356"/>
      <c r="C19" s="1356"/>
      <c r="D19" s="1356"/>
    </row>
    <row r="20" spans="1:4">
      <c r="A20" s="916" t="s">
        <v>3376</v>
      </c>
      <c r="B20" s="916" t="s">
        <v>3377</v>
      </c>
      <c r="C20" s="916" t="s">
        <v>3378</v>
      </c>
      <c r="D20" s="715">
        <v>770</v>
      </c>
    </row>
    <row r="21" spans="1:4">
      <c r="A21" s="916" t="s">
        <v>3379</v>
      </c>
      <c r="B21" s="916" t="s">
        <v>3380</v>
      </c>
      <c r="C21" s="916" t="s">
        <v>3381</v>
      </c>
      <c r="D21" s="715">
        <v>578</v>
      </c>
    </row>
    <row r="22" spans="1:4">
      <c r="A22" s="916" t="s">
        <v>3382</v>
      </c>
      <c r="B22" s="916" t="s">
        <v>3383</v>
      </c>
      <c r="C22" s="916" t="s">
        <v>3384</v>
      </c>
      <c r="D22" s="715">
        <v>1820</v>
      </c>
    </row>
    <row r="23" spans="1:4">
      <c r="A23" s="916" t="s">
        <v>3385</v>
      </c>
      <c r="B23" s="916" t="s">
        <v>3386</v>
      </c>
      <c r="C23" s="916" t="s">
        <v>3387</v>
      </c>
      <c r="D23" s="715">
        <v>1360</v>
      </c>
    </row>
    <row r="24" spans="1:4">
      <c r="A24" s="916" t="s">
        <v>3388</v>
      </c>
      <c r="B24" s="916" t="s">
        <v>3389</v>
      </c>
      <c r="C24" s="916" t="s">
        <v>3390</v>
      </c>
      <c r="D24" s="715">
        <v>3020</v>
      </c>
    </row>
    <row r="25" spans="1:4">
      <c r="A25" s="916" t="s">
        <v>3391</v>
      </c>
      <c r="B25" s="916" t="s">
        <v>3392</v>
      </c>
      <c r="C25" s="916" t="s">
        <v>3393</v>
      </c>
      <c r="D25" s="715">
        <v>2260</v>
      </c>
    </row>
    <row r="26" spans="1:4">
      <c r="A26" s="916" t="s">
        <v>3394</v>
      </c>
      <c r="B26" s="916" t="s">
        <v>3395</v>
      </c>
      <c r="C26" s="916" t="s">
        <v>3396</v>
      </c>
      <c r="D26" s="715">
        <v>960</v>
      </c>
    </row>
    <row r="27" spans="1:4">
      <c r="A27" s="916" t="s">
        <v>3397</v>
      </c>
      <c r="B27" s="916" t="s">
        <v>3398</v>
      </c>
      <c r="C27" s="916" t="s">
        <v>3399</v>
      </c>
      <c r="D27" s="715">
        <v>720</v>
      </c>
    </row>
    <row r="28" spans="1:4">
      <c r="A28" s="630" t="s">
        <v>2072</v>
      </c>
    </row>
    <row r="29" spans="1:4">
      <c r="A29" s="1355" t="s">
        <v>3400</v>
      </c>
      <c r="B29" s="1356"/>
      <c r="C29" s="1356"/>
      <c r="D29" s="1356"/>
    </row>
    <row r="30" spans="1:4">
      <c r="A30" s="916" t="s">
        <v>3401</v>
      </c>
      <c r="B30" s="916" t="s">
        <v>3402</v>
      </c>
      <c r="C30" s="916" t="s">
        <v>3403</v>
      </c>
      <c r="D30" s="715">
        <v>770</v>
      </c>
    </row>
    <row r="31" spans="1:4">
      <c r="A31" s="916" t="s">
        <v>3404</v>
      </c>
      <c r="B31" s="916" t="s">
        <v>3405</v>
      </c>
      <c r="C31" s="916" t="s">
        <v>3406</v>
      </c>
      <c r="D31" s="715">
        <v>578</v>
      </c>
    </row>
    <row r="32" spans="1:4">
      <c r="A32" s="916" t="s">
        <v>3407</v>
      </c>
      <c r="B32" s="916" t="s">
        <v>3408</v>
      </c>
      <c r="C32" s="916" t="s">
        <v>3409</v>
      </c>
      <c r="D32" s="715">
        <v>1820</v>
      </c>
    </row>
    <row r="33" spans="1:12">
      <c r="A33" s="916" t="s">
        <v>3410</v>
      </c>
      <c r="B33" s="916" t="s">
        <v>3411</v>
      </c>
      <c r="C33" s="916" t="s">
        <v>3412</v>
      </c>
      <c r="D33" s="715">
        <v>1360</v>
      </c>
    </row>
    <row r="34" spans="1:12">
      <c r="A34" s="916" t="s">
        <v>3413</v>
      </c>
      <c r="B34" s="916" t="s">
        <v>3414</v>
      </c>
      <c r="C34" s="916" t="s">
        <v>3415</v>
      </c>
      <c r="D34" s="715">
        <v>3020</v>
      </c>
    </row>
    <row r="35" spans="1:12">
      <c r="A35" s="916" t="s">
        <v>3416</v>
      </c>
      <c r="B35" s="916" t="s">
        <v>3417</v>
      </c>
      <c r="C35" s="916" t="s">
        <v>3418</v>
      </c>
      <c r="D35" s="715">
        <v>2260</v>
      </c>
    </row>
    <row r="36" spans="1:12">
      <c r="A36" s="916" t="s">
        <v>3419</v>
      </c>
      <c r="B36" s="916" t="s">
        <v>3420</v>
      </c>
      <c r="C36" s="916" t="s">
        <v>3421</v>
      </c>
      <c r="D36" s="715">
        <v>960</v>
      </c>
    </row>
    <row r="37" spans="1:12">
      <c r="A37" s="916" t="s">
        <v>3422</v>
      </c>
      <c r="B37" s="916" t="s">
        <v>3423</v>
      </c>
      <c r="C37" s="916" t="s">
        <v>3424</v>
      </c>
      <c r="D37" s="715">
        <v>720</v>
      </c>
    </row>
    <row r="38" spans="1:12">
      <c r="A38" s="630" t="s">
        <v>2072</v>
      </c>
    </row>
    <row r="39" spans="1:12">
      <c r="A39" s="1355" t="s">
        <v>3425</v>
      </c>
      <c r="B39" s="1356"/>
      <c r="C39" s="1356"/>
      <c r="D39" s="1356"/>
      <c r="L39" s="630">
        <f>F39*0.0256</f>
        <v>0</v>
      </c>
    </row>
    <row r="40" spans="1:12">
      <c r="A40" s="916" t="s">
        <v>3426</v>
      </c>
      <c r="B40" s="916" t="s">
        <v>3427</v>
      </c>
      <c r="C40" s="916" t="s">
        <v>3428</v>
      </c>
      <c r="D40" s="715">
        <v>1540</v>
      </c>
    </row>
    <row r="41" spans="1:12">
      <c r="A41" s="916" t="s">
        <v>3429</v>
      </c>
      <c r="B41" s="916" t="s">
        <v>3430</v>
      </c>
      <c r="C41" s="916" t="s">
        <v>3431</v>
      </c>
      <c r="D41" s="715">
        <v>1156</v>
      </c>
    </row>
    <row r="42" spans="1:12">
      <c r="A42" s="916" t="s">
        <v>3432</v>
      </c>
      <c r="B42" s="916" t="s">
        <v>3433</v>
      </c>
      <c r="C42" s="916" t="s">
        <v>3434</v>
      </c>
      <c r="D42" s="715">
        <v>3640</v>
      </c>
    </row>
    <row r="43" spans="1:12">
      <c r="A43" s="916" t="s">
        <v>3435</v>
      </c>
      <c r="B43" s="916" t="s">
        <v>3436</v>
      </c>
      <c r="C43" s="916" t="s">
        <v>3437</v>
      </c>
      <c r="D43" s="715">
        <v>2720</v>
      </c>
    </row>
    <row r="44" spans="1:12">
      <c r="A44" s="916" t="s">
        <v>3438</v>
      </c>
      <c r="B44" s="916" t="s">
        <v>3439</v>
      </c>
      <c r="C44" s="916" t="s">
        <v>3440</v>
      </c>
      <c r="D44" s="715">
        <v>6040</v>
      </c>
    </row>
    <row r="45" spans="1:12">
      <c r="A45" s="916" t="s">
        <v>3441</v>
      </c>
      <c r="B45" s="916" t="s">
        <v>3442</v>
      </c>
      <c r="C45" s="916" t="s">
        <v>3443</v>
      </c>
      <c r="D45" s="715">
        <v>4520</v>
      </c>
    </row>
    <row r="46" spans="1:12">
      <c r="A46" s="916" t="s">
        <v>3444</v>
      </c>
      <c r="B46" s="916" t="s">
        <v>3445</v>
      </c>
      <c r="C46" s="916" t="s">
        <v>3446</v>
      </c>
      <c r="D46" s="715">
        <v>1920</v>
      </c>
    </row>
    <row r="47" spans="1:12">
      <c r="A47" s="916" t="s">
        <v>3447</v>
      </c>
      <c r="B47" s="916" t="s">
        <v>3448</v>
      </c>
      <c r="C47" s="916" t="s">
        <v>3449</v>
      </c>
      <c r="D47" s="715">
        <v>1440</v>
      </c>
    </row>
    <row r="48" spans="1:12">
      <c r="A48" s="630" t="s">
        <v>2072</v>
      </c>
    </row>
    <row r="49" spans="1:4">
      <c r="A49" s="1355" t="s">
        <v>3450</v>
      </c>
      <c r="B49" s="1356"/>
      <c r="C49" s="1356"/>
      <c r="D49" s="1356"/>
    </row>
    <row r="50" spans="1:4">
      <c r="A50" s="916" t="s">
        <v>3451</v>
      </c>
      <c r="B50" s="916" t="s">
        <v>3452</v>
      </c>
      <c r="C50" s="916" t="s">
        <v>3453</v>
      </c>
      <c r="D50" s="715">
        <v>1925</v>
      </c>
    </row>
    <row r="51" spans="1:4">
      <c r="A51" s="916" t="s">
        <v>3454</v>
      </c>
      <c r="B51" s="916" t="s">
        <v>3455</v>
      </c>
      <c r="C51" s="916" t="s">
        <v>3456</v>
      </c>
      <c r="D51" s="715">
        <v>1900</v>
      </c>
    </row>
    <row r="52" spans="1:4">
      <c r="A52" s="916" t="s">
        <v>3457</v>
      </c>
      <c r="B52" s="916" t="s">
        <v>3458</v>
      </c>
      <c r="C52" s="916" t="s">
        <v>3459</v>
      </c>
      <c r="D52" s="715">
        <v>1100</v>
      </c>
    </row>
    <row r="53" spans="1:4">
      <c r="A53" s="916" t="s">
        <v>3460</v>
      </c>
      <c r="B53" s="916" t="s">
        <v>3461</v>
      </c>
      <c r="C53" s="916" t="s">
        <v>3462</v>
      </c>
      <c r="D53" s="715">
        <v>800</v>
      </c>
    </row>
    <row r="54" spans="1:4">
      <c r="A54" s="916" t="s">
        <v>3463</v>
      </c>
      <c r="B54" s="916" t="s">
        <v>3464</v>
      </c>
      <c r="C54" s="916" t="s">
        <v>3465</v>
      </c>
      <c r="D54" s="715">
        <v>600</v>
      </c>
    </row>
    <row r="55" spans="1:4">
      <c r="A55" s="916" t="s">
        <v>3466</v>
      </c>
      <c r="B55" s="916" t="s">
        <v>3467</v>
      </c>
      <c r="C55" s="916" t="s">
        <v>3468</v>
      </c>
      <c r="D55" s="715">
        <v>4200</v>
      </c>
    </row>
    <row r="56" spans="1:4">
      <c r="A56" s="916" t="s">
        <v>3469</v>
      </c>
      <c r="B56" s="916" t="s">
        <v>3470</v>
      </c>
      <c r="C56" s="916" t="s">
        <v>3471</v>
      </c>
      <c r="D56" s="715">
        <v>2900</v>
      </c>
    </row>
    <row r="57" spans="1:4">
      <c r="A57" s="916" t="s">
        <v>3472</v>
      </c>
      <c r="B57" s="916" t="s">
        <v>3473</v>
      </c>
      <c r="C57" s="916" t="s">
        <v>3474</v>
      </c>
      <c r="D57" s="715">
        <v>2300</v>
      </c>
    </row>
    <row r="58" spans="1:4">
      <c r="A58" s="916" t="s">
        <v>3475</v>
      </c>
      <c r="B58" s="916" t="s">
        <v>3476</v>
      </c>
      <c r="C58" s="916" t="s">
        <v>3477</v>
      </c>
      <c r="D58" s="715">
        <v>1900</v>
      </c>
    </row>
    <row r="59" spans="1:4">
      <c r="A59" s="916" t="s">
        <v>3478</v>
      </c>
      <c r="B59" s="916" t="s">
        <v>3479</v>
      </c>
      <c r="C59" s="916" t="s">
        <v>3480</v>
      </c>
      <c r="D59" s="715">
        <v>5700</v>
      </c>
    </row>
    <row r="60" spans="1:4">
      <c r="A60" s="916" t="s">
        <v>3481</v>
      </c>
      <c r="B60" s="916" t="s">
        <v>3482</v>
      </c>
      <c r="C60" s="916" t="s">
        <v>3483</v>
      </c>
      <c r="D60" s="715">
        <v>4500</v>
      </c>
    </row>
    <row r="61" spans="1:4">
      <c r="A61" s="916" t="s">
        <v>3484</v>
      </c>
      <c r="B61" s="916" t="s">
        <v>3485</v>
      </c>
      <c r="C61" s="916" t="s">
        <v>3486</v>
      </c>
      <c r="D61" s="715">
        <v>3600</v>
      </c>
    </row>
    <row r="62" spans="1:4">
      <c r="A62" s="916" t="s">
        <v>3487</v>
      </c>
      <c r="B62" s="916" t="s">
        <v>3488</v>
      </c>
      <c r="C62" s="916" t="s">
        <v>3489</v>
      </c>
      <c r="D62" s="715">
        <v>9000</v>
      </c>
    </row>
    <row r="63" spans="1:4">
      <c r="A63" s="916" t="s">
        <v>3490</v>
      </c>
      <c r="B63" s="916" t="s">
        <v>3491</v>
      </c>
      <c r="C63" s="916" t="s">
        <v>3492</v>
      </c>
      <c r="D63" s="715">
        <v>7200</v>
      </c>
    </row>
    <row r="64" spans="1:4">
      <c r="A64" s="916" t="s">
        <v>3493</v>
      </c>
      <c r="B64" s="916" t="s">
        <v>3494</v>
      </c>
      <c r="C64" s="916" t="s">
        <v>3495</v>
      </c>
      <c r="D64" s="715">
        <v>18200</v>
      </c>
    </row>
    <row r="65" spans="1:4">
      <c r="A65" s="916" t="s">
        <v>3496</v>
      </c>
      <c r="B65" s="916" t="s">
        <v>3497</v>
      </c>
      <c r="C65" s="916" t="s">
        <v>3498</v>
      </c>
      <c r="D65" s="715">
        <v>14500</v>
      </c>
    </row>
    <row r="66" spans="1:4">
      <c r="A66" s="916" t="s">
        <v>3499</v>
      </c>
      <c r="B66" s="916" t="s">
        <v>3500</v>
      </c>
      <c r="C66" s="916" t="s">
        <v>3501</v>
      </c>
      <c r="D66" s="715">
        <v>3135</v>
      </c>
    </row>
    <row r="67" spans="1:4">
      <c r="A67" s="916" t="s">
        <v>3502</v>
      </c>
      <c r="B67" s="916" t="s">
        <v>3503</v>
      </c>
      <c r="C67" s="916" t="s">
        <v>3504</v>
      </c>
      <c r="D67" s="715">
        <v>10325</v>
      </c>
    </row>
    <row r="68" spans="1:4">
      <c r="A68" s="916" t="s">
        <v>3505</v>
      </c>
      <c r="B68" s="916" t="s">
        <v>3506</v>
      </c>
      <c r="C68" s="916" t="s">
        <v>3507</v>
      </c>
      <c r="D68" s="715">
        <v>7575</v>
      </c>
    </row>
    <row r="69" spans="1:4">
      <c r="A69" s="916" t="s">
        <v>3508</v>
      </c>
      <c r="B69" s="916" t="s">
        <v>3509</v>
      </c>
      <c r="C69" s="916" t="s">
        <v>3510</v>
      </c>
      <c r="D69" s="715">
        <v>6050</v>
      </c>
    </row>
    <row r="70" spans="1:4">
      <c r="A70" s="916" t="s">
        <v>3511</v>
      </c>
      <c r="B70" s="916" t="s">
        <v>3512</v>
      </c>
      <c r="C70" s="916" t="s">
        <v>3513</v>
      </c>
      <c r="D70" s="715">
        <v>3960</v>
      </c>
    </row>
    <row r="71" spans="1:4">
      <c r="A71" s="916" t="s">
        <v>3514</v>
      </c>
      <c r="B71" s="916" t="s">
        <v>3515</v>
      </c>
      <c r="C71" s="916" t="s">
        <v>3516</v>
      </c>
      <c r="D71" s="715">
        <v>2750</v>
      </c>
    </row>
    <row r="72" spans="1:4">
      <c r="A72" s="916" t="s">
        <v>3517</v>
      </c>
      <c r="B72" s="916" t="s">
        <v>3518</v>
      </c>
      <c r="C72" s="916" t="s">
        <v>3519</v>
      </c>
      <c r="D72" s="715">
        <v>2200</v>
      </c>
    </row>
    <row r="73" spans="1:4">
      <c r="A73" s="916" t="s">
        <v>3520</v>
      </c>
      <c r="B73" s="916" t="s">
        <v>3521</v>
      </c>
      <c r="C73" s="916" t="s">
        <v>3522</v>
      </c>
      <c r="D73" s="715">
        <v>1210</v>
      </c>
    </row>
    <row r="74" spans="1:4">
      <c r="A74" s="916" t="s">
        <v>3523</v>
      </c>
      <c r="B74" s="916" t="s">
        <v>3524</v>
      </c>
      <c r="C74" s="916" t="s">
        <v>3525</v>
      </c>
      <c r="D74" s="715">
        <v>1495</v>
      </c>
    </row>
    <row r="75" spans="1:4">
      <c r="A75" s="916" t="s">
        <v>3526</v>
      </c>
      <c r="B75" s="916" t="s">
        <v>3527</v>
      </c>
      <c r="C75" s="916" t="s">
        <v>3528</v>
      </c>
      <c r="D75" s="715">
        <v>2825</v>
      </c>
    </row>
    <row r="76" spans="1:4">
      <c r="A76" s="916" t="s">
        <v>3529</v>
      </c>
      <c r="B76" s="916" t="s">
        <v>3530</v>
      </c>
      <c r="C76" s="916" t="s">
        <v>3531</v>
      </c>
      <c r="D76" s="715">
        <v>5885</v>
      </c>
    </row>
    <row r="77" spans="1:4">
      <c r="A77" s="916" t="s">
        <v>3532</v>
      </c>
      <c r="B77" s="916" t="s">
        <v>3533</v>
      </c>
      <c r="C77" s="916" t="s">
        <v>3534</v>
      </c>
      <c r="D77" s="715">
        <v>5025</v>
      </c>
    </row>
    <row r="78" spans="1:4">
      <c r="A78" s="916" t="s">
        <v>3535</v>
      </c>
      <c r="B78" s="916" t="s">
        <v>3536</v>
      </c>
      <c r="C78" s="916" t="s">
        <v>3537</v>
      </c>
      <c r="D78" s="715">
        <v>1330</v>
      </c>
    </row>
    <row r="79" spans="1:4">
      <c r="A79" s="916" t="s">
        <v>3538</v>
      </c>
      <c r="B79" s="916" t="s">
        <v>3539</v>
      </c>
      <c r="C79" s="916" t="s">
        <v>3540</v>
      </c>
      <c r="D79" s="715">
        <v>3530</v>
      </c>
    </row>
    <row r="80" spans="1:4">
      <c r="A80" s="630" t="s">
        <v>2072</v>
      </c>
    </row>
    <row r="81" spans="1:4">
      <c r="A81" s="1355" t="s">
        <v>3541</v>
      </c>
      <c r="B81" s="1356"/>
      <c r="C81" s="1356"/>
      <c r="D81" s="1356"/>
    </row>
    <row r="82" spans="1:4">
      <c r="A82" s="916" t="s">
        <v>3542</v>
      </c>
      <c r="B82" s="916" t="s">
        <v>3543</v>
      </c>
      <c r="C82" s="916" t="s">
        <v>3544</v>
      </c>
      <c r="D82" s="715">
        <v>339</v>
      </c>
    </row>
    <row r="83" spans="1:4">
      <c r="A83" s="916" t="s">
        <v>3545</v>
      </c>
      <c r="B83" s="916" t="s">
        <v>3546</v>
      </c>
      <c r="C83" s="916" t="s">
        <v>3547</v>
      </c>
      <c r="D83" s="715">
        <v>203.6</v>
      </c>
    </row>
    <row r="84" spans="1:4">
      <c r="A84" s="916" t="s">
        <v>3548</v>
      </c>
      <c r="B84" s="916" t="s">
        <v>3549</v>
      </c>
      <c r="C84" s="916" t="s">
        <v>3550</v>
      </c>
      <c r="D84" s="715">
        <v>143</v>
      </c>
    </row>
    <row r="85" spans="1:4">
      <c r="A85" s="916" t="s">
        <v>3551</v>
      </c>
      <c r="B85" s="916" t="s">
        <v>3552</v>
      </c>
      <c r="C85" s="916" t="s">
        <v>3553</v>
      </c>
      <c r="D85" s="715">
        <v>110</v>
      </c>
    </row>
    <row r="86" spans="1:4">
      <c r="A86" s="916" t="s">
        <v>3554</v>
      </c>
      <c r="B86" s="916" t="s">
        <v>3555</v>
      </c>
      <c r="C86" s="916" t="s">
        <v>3556</v>
      </c>
      <c r="D86" s="715">
        <v>762</v>
      </c>
    </row>
    <row r="87" spans="1:4">
      <c r="A87" s="916" t="s">
        <v>3557</v>
      </c>
      <c r="B87" s="916" t="s">
        <v>3558</v>
      </c>
      <c r="C87" s="916" t="s">
        <v>3559</v>
      </c>
      <c r="D87" s="715">
        <v>532</v>
      </c>
    </row>
    <row r="88" spans="1:4">
      <c r="A88" s="916" t="s">
        <v>3560</v>
      </c>
      <c r="B88" s="916" t="s">
        <v>3561</v>
      </c>
      <c r="C88" s="916" t="s">
        <v>3562</v>
      </c>
      <c r="D88" s="715">
        <v>424</v>
      </c>
    </row>
    <row r="89" spans="1:4">
      <c r="A89" s="916" t="s">
        <v>3563</v>
      </c>
      <c r="B89" s="916" t="s">
        <v>3564</v>
      </c>
      <c r="C89" s="916" t="s">
        <v>3565</v>
      </c>
      <c r="D89" s="715">
        <v>338</v>
      </c>
    </row>
    <row r="90" spans="1:4">
      <c r="A90" s="916" t="s">
        <v>3566</v>
      </c>
      <c r="B90" s="916" t="s">
        <v>3567</v>
      </c>
      <c r="C90" s="916" t="s">
        <v>3568</v>
      </c>
      <c r="D90" s="715">
        <v>1028</v>
      </c>
    </row>
    <row r="91" spans="1:4">
      <c r="A91" s="916" t="s">
        <v>3569</v>
      </c>
      <c r="B91" s="916" t="s">
        <v>3570</v>
      </c>
      <c r="C91" s="916" t="s">
        <v>3571</v>
      </c>
      <c r="D91" s="715">
        <v>825</v>
      </c>
    </row>
    <row r="92" spans="1:4">
      <c r="A92" s="916" t="s">
        <v>3572</v>
      </c>
      <c r="B92" s="916" t="s">
        <v>3573</v>
      </c>
      <c r="C92" s="916" t="s">
        <v>3574</v>
      </c>
      <c r="D92" s="715">
        <v>660</v>
      </c>
    </row>
    <row r="93" spans="1:4">
      <c r="A93" s="916" t="s">
        <v>3575</v>
      </c>
      <c r="B93" s="916" t="s">
        <v>3576</v>
      </c>
      <c r="C93" s="916" t="s">
        <v>3577</v>
      </c>
      <c r="D93" s="715">
        <v>1634</v>
      </c>
    </row>
    <row r="94" spans="1:4">
      <c r="A94" s="916" t="s">
        <v>3578</v>
      </c>
      <c r="B94" s="916" t="s">
        <v>3579</v>
      </c>
      <c r="C94" s="916" t="s">
        <v>3580</v>
      </c>
      <c r="D94" s="715">
        <v>1309</v>
      </c>
    </row>
    <row r="95" spans="1:4">
      <c r="A95" s="916" t="s">
        <v>3581</v>
      </c>
      <c r="B95" s="916" t="s">
        <v>3582</v>
      </c>
      <c r="C95" s="916" t="s">
        <v>3583</v>
      </c>
      <c r="D95" s="715">
        <v>3300</v>
      </c>
    </row>
    <row r="96" spans="1:4">
      <c r="A96" s="916" t="s">
        <v>3584</v>
      </c>
      <c r="B96" s="916" t="s">
        <v>3585</v>
      </c>
      <c r="C96" s="916" t="s">
        <v>3586</v>
      </c>
      <c r="D96" s="715">
        <v>2640</v>
      </c>
    </row>
    <row r="97" spans="1:4">
      <c r="A97" s="630" t="s">
        <v>2072</v>
      </c>
    </row>
    <row r="98" spans="1:4">
      <c r="A98" s="1355" t="s">
        <v>3587</v>
      </c>
      <c r="B98" s="1356"/>
      <c r="C98" s="1356"/>
      <c r="D98" s="1356"/>
    </row>
    <row r="99" spans="1:4">
      <c r="A99" s="916" t="s">
        <v>3588</v>
      </c>
      <c r="B99" s="916" t="s">
        <v>3589</v>
      </c>
      <c r="C99" s="916" t="s">
        <v>3590</v>
      </c>
      <c r="D99" s="715">
        <v>380</v>
      </c>
    </row>
    <row r="100" spans="1:4">
      <c r="A100" s="916" t="s">
        <v>3591</v>
      </c>
      <c r="B100" s="916" t="s">
        <v>3592</v>
      </c>
      <c r="C100" s="916" t="s">
        <v>3593</v>
      </c>
      <c r="D100" s="715">
        <v>220</v>
      </c>
    </row>
    <row r="101" spans="1:4">
      <c r="A101" s="916" t="s">
        <v>3594</v>
      </c>
      <c r="B101" s="916" t="s">
        <v>3595</v>
      </c>
      <c r="C101" s="916" t="s">
        <v>3596</v>
      </c>
      <c r="D101" s="715">
        <v>160</v>
      </c>
    </row>
    <row r="102" spans="1:4">
      <c r="A102" s="916" t="s">
        <v>3597</v>
      </c>
      <c r="B102" s="916" t="s">
        <v>3598</v>
      </c>
      <c r="C102" s="916" t="s">
        <v>3599</v>
      </c>
      <c r="D102" s="715">
        <v>120</v>
      </c>
    </row>
    <row r="103" spans="1:4">
      <c r="A103" s="916" t="s">
        <v>3600</v>
      </c>
      <c r="B103" s="916" t="s">
        <v>3601</v>
      </c>
      <c r="C103" s="916" t="s">
        <v>3602</v>
      </c>
      <c r="D103" s="715">
        <v>840</v>
      </c>
    </row>
    <row r="104" spans="1:4">
      <c r="A104" s="916" t="s">
        <v>3603</v>
      </c>
      <c r="B104" s="916" t="s">
        <v>3604</v>
      </c>
      <c r="C104" s="916" t="s">
        <v>3605</v>
      </c>
      <c r="D104" s="715">
        <v>580</v>
      </c>
    </row>
    <row r="105" spans="1:4">
      <c r="A105" s="916" t="s">
        <v>3606</v>
      </c>
      <c r="B105" s="916" t="s">
        <v>3607</v>
      </c>
      <c r="C105" s="916" t="s">
        <v>3608</v>
      </c>
      <c r="D105" s="715">
        <v>460</v>
      </c>
    </row>
    <row r="106" spans="1:4">
      <c r="A106" s="916" t="s">
        <v>3609</v>
      </c>
      <c r="B106" s="916" t="s">
        <v>3610</v>
      </c>
      <c r="C106" s="916" t="s">
        <v>3611</v>
      </c>
      <c r="D106" s="715">
        <v>380</v>
      </c>
    </row>
    <row r="107" spans="1:4">
      <c r="A107" s="916" t="s">
        <v>3609</v>
      </c>
      <c r="B107" s="916" t="s">
        <v>3612</v>
      </c>
      <c r="C107" s="916" t="s">
        <v>3613</v>
      </c>
      <c r="D107" s="715">
        <v>1140</v>
      </c>
    </row>
    <row r="108" spans="1:4">
      <c r="A108" s="916" t="s">
        <v>3614</v>
      </c>
      <c r="B108" s="916" t="s">
        <v>3610</v>
      </c>
      <c r="C108" s="916" t="s">
        <v>3615</v>
      </c>
      <c r="D108" s="715">
        <v>900</v>
      </c>
    </row>
    <row r="109" spans="1:4">
      <c r="A109" s="916" t="s">
        <v>3616</v>
      </c>
      <c r="B109" s="916" t="s">
        <v>3617</v>
      </c>
      <c r="C109" s="916" t="s">
        <v>3618</v>
      </c>
      <c r="D109" s="715">
        <v>720</v>
      </c>
    </row>
    <row r="110" spans="1:4">
      <c r="A110" s="916" t="s">
        <v>3619</v>
      </c>
      <c r="B110" s="916" t="s">
        <v>3620</v>
      </c>
      <c r="C110" s="916" t="s">
        <v>3621</v>
      </c>
      <c r="D110" s="715">
        <v>1800</v>
      </c>
    </row>
    <row r="111" spans="1:4">
      <c r="A111" s="916" t="s">
        <v>3622</v>
      </c>
      <c r="B111" s="916" t="s">
        <v>3623</v>
      </c>
      <c r="C111" s="916" t="s">
        <v>3624</v>
      </c>
      <c r="D111" s="715">
        <v>1440</v>
      </c>
    </row>
    <row r="112" spans="1:4">
      <c r="A112" s="916" t="s">
        <v>3625</v>
      </c>
      <c r="B112" s="916" t="s">
        <v>3626</v>
      </c>
      <c r="C112" s="916" t="s">
        <v>3627</v>
      </c>
      <c r="D112" s="715">
        <v>3640</v>
      </c>
    </row>
    <row r="113" spans="1:4">
      <c r="A113" s="916" t="s">
        <v>3628</v>
      </c>
      <c r="B113" s="916" t="s">
        <v>3629</v>
      </c>
      <c r="C113" s="916" t="s">
        <v>3630</v>
      </c>
      <c r="D113" s="715">
        <v>2900</v>
      </c>
    </row>
    <row r="114" spans="1:4">
      <c r="A114" s="630" t="s">
        <v>2072</v>
      </c>
    </row>
    <row r="115" spans="1:4">
      <c r="A115" s="1355" t="s">
        <v>3631</v>
      </c>
      <c r="B115" s="1356"/>
      <c r="C115" s="1356"/>
      <c r="D115" s="1356"/>
    </row>
    <row r="116" spans="1:4">
      <c r="A116" s="916" t="s">
        <v>3632</v>
      </c>
      <c r="B116" s="916" t="s">
        <v>3589</v>
      </c>
      <c r="C116" s="916" t="s">
        <v>3633</v>
      </c>
      <c r="D116" s="715">
        <v>760</v>
      </c>
    </row>
    <row r="117" spans="1:4">
      <c r="A117" s="916" t="s">
        <v>3634</v>
      </c>
      <c r="B117" s="916" t="s">
        <v>3635</v>
      </c>
      <c r="C117" s="916" t="s">
        <v>3636</v>
      </c>
      <c r="D117" s="715">
        <v>440</v>
      </c>
    </row>
    <row r="118" spans="1:4">
      <c r="A118" s="916" t="s">
        <v>3637</v>
      </c>
      <c r="B118" s="916" t="s">
        <v>3638</v>
      </c>
      <c r="C118" s="916" t="s">
        <v>3639</v>
      </c>
      <c r="D118" s="715">
        <v>320</v>
      </c>
    </row>
    <row r="119" spans="1:4">
      <c r="A119" s="916" t="s">
        <v>3640</v>
      </c>
      <c r="B119" s="916" t="s">
        <v>3641</v>
      </c>
      <c r="C119" s="916" t="s">
        <v>3642</v>
      </c>
      <c r="D119" s="715">
        <v>240</v>
      </c>
    </row>
    <row r="120" spans="1:4">
      <c r="A120" s="916" t="s">
        <v>3643</v>
      </c>
      <c r="B120" s="916" t="s">
        <v>3644</v>
      </c>
      <c r="C120" s="916" t="s">
        <v>3645</v>
      </c>
      <c r="D120" s="715">
        <v>1680</v>
      </c>
    </row>
    <row r="121" spans="1:4">
      <c r="A121" s="916" t="s">
        <v>3646</v>
      </c>
      <c r="B121" s="916" t="s">
        <v>3647</v>
      </c>
      <c r="C121" s="916" t="s">
        <v>3648</v>
      </c>
      <c r="D121" s="715">
        <v>1160</v>
      </c>
    </row>
    <row r="122" spans="1:4">
      <c r="A122" s="916" t="s">
        <v>3649</v>
      </c>
      <c r="B122" s="916" t="s">
        <v>3650</v>
      </c>
      <c r="C122" s="916" t="s">
        <v>3651</v>
      </c>
      <c r="D122" s="715">
        <v>920</v>
      </c>
    </row>
    <row r="123" spans="1:4">
      <c r="A123" s="916" t="s">
        <v>3652</v>
      </c>
      <c r="B123" s="916" t="s">
        <v>3653</v>
      </c>
      <c r="C123" s="916" t="s">
        <v>3654</v>
      </c>
      <c r="D123" s="715">
        <v>760</v>
      </c>
    </row>
    <row r="124" spans="1:4">
      <c r="A124" s="916" t="s">
        <v>3655</v>
      </c>
      <c r="B124" s="916" t="s">
        <v>3656</v>
      </c>
      <c r="C124" s="916" t="s">
        <v>3657</v>
      </c>
      <c r="D124" s="715">
        <v>2280</v>
      </c>
    </row>
    <row r="125" spans="1:4">
      <c r="A125" s="916" t="s">
        <v>3658</v>
      </c>
      <c r="B125" s="916" t="s">
        <v>3659</v>
      </c>
      <c r="C125" s="916" t="s">
        <v>3660</v>
      </c>
      <c r="D125" s="715">
        <v>1800</v>
      </c>
    </row>
    <row r="126" spans="1:4">
      <c r="A126" s="916" t="s">
        <v>3661</v>
      </c>
      <c r="B126" s="916" t="s">
        <v>3662</v>
      </c>
      <c r="C126" s="916" t="s">
        <v>3663</v>
      </c>
      <c r="D126" s="715">
        <v>1440</v>
      </c>
    </row>
    <row r="127" spans="1:4">
      <c r="A127" s="916" t="s">
        <v>3664</v>
      </c>
      <c r="B127" s="916" t="s">
        <v>3665</v>
      </c>
      <c r="C127" s="916" t="s">
        <v>3666</v>
      </c>
      <c r="D127" s="715">
        <v>3600</v>
      </c>
    </row>
    <row r="128" spans="1:4">
      <c r="A128" s="916" t="s">
        <v>3667</v>
      </c>
      <c r="B128" s="916" t="s">
        <v>3668</v>
      </c>
      <c r="C128" s="916" t="s">
        <v>3669</v>
      </c>
      <c r="D128" s="715">
        <v>2880</v>
      </c>
    </row>
    <row r="129" spans="1:4">
      <c r="A129" s="916" t="s">
        <v>3670</v>
      </c>
      <c r="B129" s="916" t="s">
        <v>3671</v>
      </c>
      <c r="C129" s="916" t="s">
        <v>3672</v>
      </c>
      <c r="D129" s="715">
        <v>7280</v>
      </c>
    </row>
    <row r="130" spans="1:4">
      <c r="A130" s="916" t="s">
        <v>3673</v>
      </c>
      <c r="B130" s="916" t="s">
        <v>3674</v>
      </c>
      <c r="C130" s="916" t="s">
        <v>3675</v>
      </c>
      <c r="D130" s="715">
        <v>5800</v>
      </c>
    </row>
    <row r="131" spans="1:4">
      <c r="A131" s="630" t="s">
        <v>2072</v>
      </c>
    </row>
    <row r="132" spans="1:4">
      <c r="A132" s="1355" t="s">
        <v>3676</v>
      </c>
      <c r="B132" s="1356"/>
      <c r="C132" s="1356"/>
      <c r="D132" s="1356"/>
    </row>
    <row r="133" spans="1:4">
      <c r="A133" s="916" t="s">
        <v>3677</v>
      </c>
      <c r="B133" s="916" t="s">
        <v>3678</v>
      </c>
      <c r="C133" s="916" t="s">
        <v>3679</v>
      </c>
      <c r="D133" s="715">
        <v>6300</v>
      </c>
    </row>
    <row r="134" spans="1:4">
      <c r="A134" s="916" t="s">
        <v>3680</v>
      </c>
      <c r="B134" s="916" t="s">
        <v>3681</v>
      </c>
      <c r="C134" s="916" t="s">
        <v>3682</v>
      </c>
      <c r="D134" s="715">
        <v>4700</v>
      </c>
    </row>
    <row r="135" spans="1:4">
      <c r="A135" s="916" t="s">
        <v>3683</v>
      </c>
      <c r="B135" s="916" t="s">
        <v>3684</v>
      </c>
      <c r="C135" s="916" t="s">
        <v>3685</v>
      </c>
      <c r="D135" s="715">
        <v>14200</v>
      </c>
    </row>
    <row r="136" spans="1:4">
      <c r="A136" s="916" t="s">
        <v>3686</v>
      </c>
      <c r="B136" s="916" t="s">
        <v>3687</v>
      </c>
      <c r="C136" s="916" t="s">
        <v>3688</v>
      </c>
      <c r="D136" s="715">
        <v>10600</v>
      </c>
    </row>
    <row r="137" spans="1:4">
      <c r="A137" s="916" t="s">
        <v>3689</v>
      </c>
      <c r="B137" s="916" t="s">
        <v>3690</v>
      </c>
      <c r="C137" s="916" t="s">
        <v>3691</v>
      </c>
      <c r="D137" s="715">
        <v>7900</v>
      </c>
    </row>
    <row r="138" spans="1:4">
      <c r="A138" s="916" t="s">
        <v>3692</v>
      </c>
      <c r="B138" s="916" t="s">
        <v>3693</v>
      </c>
      <c r="C138" s="916" t="s">
        <v>3694</v>
      </c>
      <c r="D138" s="715">
        <v>5900</v>
      </c>
    </row>
    <row r="139" spans="1:4">
      <c r="A139" s="630" t="s">
        <v>2072</v>
      </c>
    </row>
    <row r="140" spans="1:4">
      <c r="A140" s="1355" t="s">
        <v>3695</v>
      </c>
      <c r="B140" s="1356"/>
      <c r="C140" s="1356"/>
      <c r="D140" s="1356"/>
    </row>
    <row r="141" spans="1:4">
      <c r="A141" s="916" t="s">
        <v>3696</v>
      </c>
      <c r="B141" s="916" t="s">
        <v>3697</v>
      </c>
      <c r="C141" s="916" t="s">
        <v>3698</v>
      </c>
      <c r="D141" s="715">
        <v>1260</v>
      </c>
    </row>
    <row r="142" spans="1:4">
      <c r="A142" s="916" t="s">
        <v>3699</v>
      </c>
      <c r="B142" s="916" t="s">
        <v>3700</v>
      </c>
      <c r="C142" s="916" t="s">
        <v>3701</v>
      </c>
      <c r="D142" s="715">
        <v>940</v>
      </c>
    </row>
    <row r="143" spans="1:4">
      <c r="A143" s="916" t="s">
        <v>3702</v>
      </c>
      <c r="B143" s="916" t="s">
        <v>3703</v>
      </c>
      <c r="C143" s="916" t="s">
        <v>3704</v>
      </c>
      <c r="D143" s="715">
        <v>2840</v>
      </c>
    </row>
    <row r="144" spans="1:4">
      <c r="A144" s="916" t="s">
        <v>3705</v>
      </c>
      <c r="B144" s="916" t="s">
        <v>3706</v>
      </c>
      <c r="C144" s="916" t="s">
        <v>3707</v>
      </c>
      <c r="D144" s="715">
        <v>2120</v>
      </c>
    </row>
    <row r="145" spans="1:4">
      <c r="A145" s="916" t="s">
        <v>3708</v>
      </c>
      <c r="B145" s="916" t="s">
        <v>3709</v>
      </c>
      <c r="C145" s="916" t="s">
        <v>3710</v>
      </c>
      <c r="D145" s="715">
        <v>1580</v>
      </c>
    </row>
    <row r="146" spans="1:4">
      <c r="A146" s="916" t="s">
        <v>3711</v>
      </c>
      <c r="B146" s="916" t="s">
        <v>3712</v>
      </c>
      <c r="C146" s="916" t="s">
        <v>3713</v>
      </c>
      <c r="D146" s="715">
        <v>1180</v>
      </c>
    </row>
    <row r="147" spans="1:4">
      <c r="A147" s="630" t="s">
        <v>2072</v>
      </c>
    </row>
    <row r="148" spans="1:4">
      <c r="A148" s="1355" t="s">
        <v>3714</v>
      </c>
      <c r="B148" s="1356"/>
      <c r="C148" s="1356"/>
      <c r="D148" s="1356"/>
    </row>
    <row r="149" spans="1:4">
      <c r="A149" s="916" t="s">
        <v>3715</v>
      </c>
      <c r="B149" s="916" t="s">
        <v>3716</v>
      </c>
      <c r="C149" s="916" t="s">
        <v>3717</v>
      </c>
      <c r="D149" s="715">
        <v>884</v>
      </c>
    </row>
    <row r="150" spans="1:4">
      <c r="A150" s="916" t="s">
        <v>3718</v>
      </c>
      <c r="B150" s="916" t="s">
        <v>3719</v>
      </c>
      <c r="C150" s="916" t="s">
        <v>3720</v>
      </c>
      <c r="D150" s="715">
        <v>663</v>
      </c>
    </row>
    <row r="151" spans="1:4">
      <c r="A151" s="916" t="s">
        <v>3721</v>
      </c>
      <c r="B151" s="916" t="s">
        <v>3722</v>
      </c>
      <c r="C151" s="916" t="s">
        <v>3723</v>
      </c>
      <c r="D151" s="715">
        <v>1989</v>
      </c>
    </row>
    <row r="152" spans="1:4">
      <c r="A152" s="916" t="s">
        <v>3724</v>
      </c>
      <c r="B152" s="916" t="s">
        <v>3725</v>
      </c>
      <c r="C152" s="916" t="s">
        <v>3726</v>
      </c>
      <c r="D152" s="715">
        <v>1105</v>
      </c>
    </row>
    <row r="153" spans="1:4">
      <c r="A153" s="916" t="s">
        <v>3727</v>
      </c>
      <c r="B153" s="916" t="s">
        <v>3728</v>
      </c>
      <c r="C153" s="916" t="s">
        <v>3729</v>
      </c>
      <c r="D153" s="715">
        <v>828.75</v>
      </c>
    </row>
    <row r="154" spans="1:4">
      <c r="A154" s="630" t="s">
        <v>2072</v>
      </c>
    </row>
    <row r="155" spans="1:4">
      <c r="A155" s="1355" t="s">
        <v>3730</v>
      </c>
      <c r="B155" s="1356"/>
      <c r="C155" s="1356"/>
      <c r="D155" s="1356"/>
    </row>
    <row r="156" spans="1:4">
      <c r="A156" s="916" t="s">
        <v>3731</v>
      </c>
      <c r="B156" s="916" t="s">
        <v>3732</v>
      </c>
      <c r="C156" s="916" t="s">
        <v>3733</v>
      </c>
      <c r="D156" s="715">
        <v>1300</v>
      </c>
    </row>
    <row r="157" spans="1:4">
      <c r="A157" s="916" t="s">
        <v>3734</v>
      </c>
      <c r="B157" s="916" t="s">
        <v>3735</v>
      </c>
      <c r="C157" s="916" t="s">
        <v>3736</v>
      </c>
      <c r="D157" s="715">
        <v>975</v>
      </c>
    </row>
    <row r="158" spans="1:4">
      <c r="A158" s="916" t="s">
        <v>3737</v>
      </c>
      <c r="B158" s="916" t="s">
        <v>3738</v>
      </c>
      <c r="C158" s="916" t="s">
        <v>3739</v>
      </c>
      <c r="D158" s="715">
        <v>2925</v>
      </c>
    </row>
    <row r="159" spans="1:4">
      <c r="A159" s="916" t="s">
        <v>3740</v>
      </c>
      <c r="B159" s="916" t="s">
        <v>3741</v>
      </c>
      <c r="C159" s="916" t="s">
        <v>3742</v>
      </c>
      <c r="D159" s="715">
        <v>2193.75</v>
      </c>
    </row>
    <row r="160" spans="1:4">
      <c r="A160" s="916" t="s">
        <v>3743</v>
      </c>
      <c r="B160" s="916" t="s">
        <v>3744</v>
      </c>
      <c r="C160" s="916" t="s">
        <v>3745</v>
      </c>
      <c r="D160" s="715">
        <v>1625</v>
      </c>
    </row>
    <row r="161" spans="1:4">
      <c r="A161" s="916" t="s">
        <v>3746</v>
      </c>
      <c r="B161" s="916" t="s">
        <v>3747</v>
      </c>
      <c r="C161" s="916" t="s">
        <v>3748</v>
      </c>
      <c r="D161" s="715">
        <v>1218.75</v>
      </c>
    </row>
    <row r="162" spans="1:4">
      <c r="A162" s="630" t="s">
        <v>2072</v>
      </c>
    </row>
    <row r="163" spans="1:4">
      <c r="A163" s="1355" t="s">
        <v>3749</v>
      </c>
      <c r="B163" s="1356"/>
      <c r="C163" s="1356"/>
      <c r="D163" s="1356"/>
    </row>
    <row r="164" spans="1:4" ht="14.25">
      <c r="A164" s="916" t="s">
        <v>3750</v>
      </c>
      <c r="B164" s="916" t="s">
        <v>3751</v>
      </c>
      <c r="C164" s="916" t="s">
        <v>3752</v>
      </c>
      <c r="D164" s="715">
        <v>50</v>
      </c>
    </row>
    <row r="165" spans="1:4">
      <c r="A165" s="630" t="s">
        <v>2072</v>
      </c>
    </row>
    <row r="166" spans="1:4">
      <c r="A166" s="1355" t="s">
        <v>3753</v>
      </c>
      <c r="B166" s="1356"/>
      <c r="C166" s="1356"/>
      <c r="D166" s="1356"/>
    </row>
    <row r="167" spans="1:4" ht="14.25">
      <c r="A167" s="916" t="s">
        <v>3754</v>
      </c>
      <c r="B167" s="916" t="s">
        <v>3755</v>
      </c>
      <c r="C167" s="916" t="s">
        <v>3756</v>
      </c>
      <c r="D167" s="715">
        <v>995</v>
      </c>
    </row>
    <row r="168" spans="1:4">
      <c r="A168" s="916" t="s">
        <v>3757</v>
      </c>
      <c r="B168" s="916" t="s">
        <v>3758</v>
      </c>
      <c r="C168" s="916" t="s">
        <v>3759</v>
      </c>
      <c r="D168" s="715">
        <v>1750</v>
      </c>
    </row>
    <row r="169" spans="1:4">
      <c r="A169" s="916" t="s">
        <v>3760</v>
      </c>
      <c r="B169" s="916" t="s">
        <v>3761</v>
      </c>
      <c r="C169" s="916" t="s">
        <v>3762</v>
      </c>
      <c r="D169" s="715">
        <v>1750</v>
      </c>
    </row>
    <row r="170" spans="1:4">
      <c r="A170" s="916" t="s">
        <v>3763</v>
      </c>
      <c r="B170" s="916" t="s">
        <v>3764</v>
      </c>
      <c r="C170" s="916" t="s">
        <v>3765</v>
      </c>
      <c r="D170" s="715">
        <v>2750</v>
      </c>
    </row>
    <row r="171" spans="1:4">
      <c r="A171" s="916" t="s">
        <v>3766</v>
      </c>
      <c r="B171" s="916" t="s">
        <v>3767</v>
      </c>
      <c r="C171" s="916" t="s">
        <v>3768</v>
      </c>
      <c r="D171" s="715">
        <v>1450</v>
      </c>
    </row>
    <row r="172" spans="1:4">
      <c r="A172" s="916" t="s">
        <v>3769</v>
      </c>
      <c r="B172" s="916" t="s">
        <v>3770</v>
      </c>
      <c r="C172" s="916" t="s">
        <v>3771</v>
      </c>
      <c r="D172" s="715">
        <v>1250</v>
      </c>
    </row>
    <row r="173" spans="1:4" ht="14.25">
      <c r="A173" s="916" t="s">
        <v>3772</v>
      </c>
      <c r="B173" s="916" t="s">
        <v>3773</v>
      </c>
      <c r="C173" s="916" t="s">
        <v>3774</v>
      </c>
      <c r="D173" s="715">
        <v>4000</v>
      </c>
    </row>
    <row r="174" spans="1:4" ht="14.25">
      <c r="A174" s="916" t="s">
        <v>3775</v>
      </c>
      <c r="B174" s="916" t="s">
        <v>3776</v>
      </c>
      <c r="C174" s="916" t="s">
        <v>3777</v>
      </c>
      <c r="D174" s="715">
        <v>4000</v>
      </c>
    </row>
    <row r="175" spans="1:4" ht="14.25">
      <c r="A175" s="916" t="s">
        <v>3778</v>
      </c>
      <c r="B175" s="916" t="s">
        <v>3779</v>
      </c>
      <c r="C175" s="916" t="s">
        <v>3780</v>
      </c>
      <c r="D175" s="715">
        <v>8000</v>
      </c>
    </row>
    <row r="176" spans="1:4" ht="14.25">
      <c r="A176" s="916" t="s">
        <v>3781</v>
      </c>
      <c r="B176" s="916" t="s">
        <v>3782</v>
      </c>
      <c r="C176" s="916" t="s">
        <v>3783</v>
      </c>
      <c r="D176" s="715">
        <v>2200</v>
      </c>
    </row>
    <row r="177" spans="1:4" ht="14.25">
      <c r="A177" s="916" t="s">
        <v>3784</v>
      </c>
      <c r="B177" s="916" t="s">
        <v>3785</v>
      </c>
      <c r="C177" s="916" t="s">
        <v>3786</v>
      </c>
      <c r="D177" s="715">
        <v>2000</v>
      </c>
    </row>
    <row r="178" spans="1:4">
      <c r="A178" s="630" t="s">
        <v>2072</v>
      </c>
    </row>
    <row r="179" spans="1:4">
      <c r="A179" s="1355" t="s">
        <v>3787</v>
      </c>
      <c r="B179" s="1356"/>
      <c r="C179" s="1356"/>
      <c r="D179" s="1356"/>
    </row>
    <row r="180" spans="1:4">
      <c r="A180" s="916" t="s">
        <v>3788</v>
      </c>
      <c r="B180" s="916" t="s">
        <v>3789</v>
      </c>
      <c r="C180" s="916" t="s">
        <v>3790</v>
      </c>
      <c r="D180" s="715">
        <v>1</v>
      </c>
    </row>
    <row r="181" spans="1:4">
      <c r="A181" s="630" t="s">
        <v>2072</v>
      </c>
    </row>
    <row r="182" spans="1:4">
      <c r="A182" s="1355" t="s">
        <v>1833</v>
      </c>
      <c r="B182" s="1356"/>
      <c r="C182" s="1356"/>
      <c r="D182" s="1356"/>
    </row>
    <row r="183" spans="1:4" ht="14.25">
      <c r="A183" s="916" t="s">
        <v>3791</v>
      </c>
      <c r="B183" s="916" t="s">
        <v>3792</v>
      </c>
      <c r="C183" s="916" t="s">
        <v>3793</v>
      </c>
      <c r="D183" s="715">
        <v>2000</v>
      </c>
    </row>
    <row r="184" spans="1:4">
      <c r="A184" s="916" t="s">
        <v>3794</v>
      </c>
      <c r="B184" s="916" t="s">
        <v>3795</v>
      </c>
      <c r="C184" s="916" t="s">
        <v>3796</v>
      </c>
      <c r="D184" s="715">
        <v>250</v>
      </c>
    </row>
    <row r="185" spans="1:4">
      <c r="A185" s="916" t="s">
        <v>3797</v>
      </c>
      <c r="B185" s="916" t="s">
        <v>3798</v>
      </c>
      <c r="C185" s="916" t="s">
        <v>3799</v>
      </c>
      <c r="D185" s="715">
        <v>400</v>
      </c>
    </row>
    <row r="186" spans="1:4">
      <c r="A186" s="916" t="s">
        <v>3800</v>
      </c>
      <c r="B186" s="916" t="s">
        <v>3801</v>
      </c>
      <c r="C186" s="916" t="s">
        <v>3802</v>
      </c>
      <c r="D186" s="715">
        <v>250</v>
      </c>
    </row>
    <row r="187" spans="1:4">
      <c r="A187" s="630" t="s">
        <v>2072</v>
      </c>
    </row>
    <row r="188" spans="1:4">
      <c r="A188" s="1361" t="s">
        <v>3803</v>
      </c>
      <c r="B188" s="1356"/>
      <c r="C188" s="1356"/>
      <c r="D188" s="1356"/>
    </row>
    <row r="189" spans="1:4">
      <c r="A189" s="1361" t="s">
        <v>3804</v>
      </c>
      <c r="B189" s="1356"/>
      <c r="C189" s="1356"/>
      <c r="D189" s="1356"/>
    </row>
    <row r="190" spans="1:4">
      <c r="A190" s="1361" t="s">
        <v>3805</v>
      </c>
      <c r="B190" s="1356"/>
      <c r="C190" s="1356"/>
      <c r="D190" s="1356"/>
    </row>
    <row r="191" spans="1:4">
      <c r="A191" s="1361" t="s">
        <v>3806</v>
      </c>
      <c r="B191" s="1356"/>
      <c r="C191" s="1356"/>
      <c r="D191" s="1356"/>
    </row>
    <row r="192" spans="1:4">
      <c r="A192" s="1361" t="s">
        <v>3807</v>
      </c>
      <c r="B192" s="1356"/>
      <c r="C192" s="1356"/>
      <c r="D192" s="1356"/>
    </row>
    <row r="193" spans="1:4">
      <c r="A193" s="1361" t="s">
        <v>3808</v>
      </c>
      <c r="B193" s="1356"/>
      <c r="C193" s="1356"/>
      <c r="D193" s="1356"/>
    </row>
    <row r="194" spans="1:4">
      <c r="A194" s="1361" t="s">
        <v>3809</v>
      </c>
      <c r="B194" s="1356"/>
      <c r="C194" s="1356"/>
      <c r="D194" s="1356"/>
    </row>
    <row r="195" spans="1:4">
      <c r="A195" s="1361" t="s">
        <v>3810</v>
      </c>
      <c r="B195" s="1356"/>
      <c r="C195" s="1356"/>
      <c r="D195" s="1356"/>
    </row>
    <row r="196" spans="1:4">
      <c r="A196" s="1361" t="s">
        <v>3811</v>
      </c>
      <c r="B196" s="1356"/>
      <c r="C196" s="1356"/>
      <c r="D196" s="1356"/>
    </row>
    <row r="197" spans="1:4">
      <c r="A197" s="1361" t="s">
        <v>3812</v>
      </c>
      <c r="B197" s="1356"/>
      <c r="C197" s="1356"/>
      <c r="D197" s="1356"/>
    </row>
    <row r="198" spans="1:4">
      <c r="A198" s="1361" t="s">
        <v>3813</v>
      </c>
      <c r="B198" s="1356"/>
      <c r="C198" s="1356"/>
      <c r="D198" s="1356"/>
    </row>
    <row r="199" spans="1:4">
      <c r="A199" s="1361" t="s">
        <v>3814</v>
      </c>
      <c r="B199" s="1356"/>
      <c r="C199" s="1356"/>
      <c r="D199" s="1356"/>
    </row>
    <row r="200" spans="1:4">
      <c r="A200" s="1361" t="s">
        <v>3815</v>
      </c>
      <c r="B200" s="1356"/>
      <c r="C200" s="1356"/>
      <c r="D200" s="1356"/>
    </row>
  </sheetData>
  <mergeCells count="30">
    <mergeCell ref="A49:D49"/>
    <mergeCell ref="A1:D1"/>
    <mergeCell ref="A5:D5"/>
    <mergeCell ref="A19:D19"/>
    <mergeCell ref="A29:D29"/>
    <mergeCell ref="A39:D39"/>
    <mergeCell ref="A188:D188"/>
    <mergeCell ref="A81:D81"/>
    <mergeCell ref="A98:D98"/>
    <mergeCell ref="A115:D115"/>
    <mergeCell ref="A132:D132"/>
    <mergeCell ref="A140:D140"/>
    <mergeCell ref="A148:D148"/>
    <mergeCell ref="A155:D155"/>
    <mergeCell ref="A163:D163"/>
    <mergeCell ref="A166:D166"/>
    <mergeCell ref="A179:D179"/>
    <mergeCell ref="A182:D182"/>
    <mergeCell ref="A200:D200"/>
    <mergeCell ref="A189:D189"/>
    <mergeCell ref="A190:D190"/>
    <mergeCell ref="A191:D191"/>
    <mergeCell ref="A192:D192"/>
    <mergeCell ref="A193:D193"/>
    <mergeCell ref="A194:D194"/>
    <mergeCell ref="A195:D195"/>
    <mergeCell ref="A196:D196"/>
    <mergeCell ref="A197:D197"/>
    <mergeCell ref="A198:D198"/>
    <mergeCell ref="A199:D199"/>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7DF68-D081-4565-B81F-477DD52E0669}">
  <sheetPr>
    <tabColor rgb="FF339966"/>
  </sheetPr>
  <dimension ref="A1:L39"/>
  <sheetViews>
    <sheetView zoomScaleNormal="100" workbookViewId="0">
      <selection activeCell="K25" sqref="K25"/>
    </sheetView>
  </sheetViews>
  <sheetFormatPr defaultColWidth="8.85546875" defaultRowHeight="12.75"/>
  <cols>
    <col min="1" max="1" width="61.5703125" style="630" bestFit="1" customWidth="1"/>
    <col min="2" max="2" width="131" style="630" bestFit="1" customWidth="1"/>
    <col min="3" max="3" width="21.7109375" style="630" bestFit="1" customWidth="1"/>
    <col min="4" max="4" width="16" style="630" bestFit="1" customWidth="1"/>
    <col min="5" max="16384" width="8.85546875" style="630"/>
  </cols>
  <sheetData>
    <row r="1" spans="1:4" ht="25.5">
      <c r="A1" s="1373" t="s">
        <v>3816</v>
      </c>
      <c r="B1" s="1374"/>
      <c r="C1" s="1374"/>
      <c r="D1" s="1374"/>
    </row>
    <row r="3" spans="1:4">
      <c r="A3" s="919" t="s">
        <v>2668</v>
      </c>
      <c r="B3" s="919" t="s">
        <v>48</v>
      </c>
      <c r="C3" s="919" t="s">
        <v>2669</v>
      </c>
      <c r="D3" s="919" t="s">
        <v>2670</v>
      </c>
    </row>
    <row r="4" spans="1:4">
      <c r="A4" s="630" t="s">
        <v>2072</v>
      </c>
    </row>
    <row r="5" spans="1:4">
      <c r="A5" s="1367" t="s">
        <v>1660</v>
      </c>
      <c r="B5" s="1356"/>
      <c r="C5" s="1356"/>
      <c r="D5" s="1356"/>
    </row>
    <row r="6" spans="1:4" ht="14.25">
      <c r="A6" s="916" t="s">
        <v>3817</v>
      </c>
      <c r="B6" s="916" t="s">
        <v>3818</v>
      </c>
      <c r="C6" s="916" t="s">
        <v>3819</v>
      </c>
      <c r="D6" s="715">
        <v>1</v>
      </c>
    </row>
    <row r="7" spans="1:4">
      <c r="A7" s="916" t="s">
        <v>3820</v>
      </c>
      <c r="B7" s="916" t="s">
        <v>3821</v>
      </c>
      <c r="C7" s="916" t="s">
        <v>3822</v>
      </c>
      <c r="D7" s="715">
        <v>1795</v>
      </c>
    </row>
    <row r="8" spans="1:4">
      <c r="A8" s="916" t="s">
        <v>3823</v>
      </c>
      <c r="B8" s="916" t="s">
        <v>3824</v>
      </c>
      <c r="C8" s="916" t="s">
        <v>3825</v>
      </c>
      <c r="D8" s="715">
        <v>995</v>
      </c>
    </row>
    <row r="9" spans="1:4">
      <c r="A9" s="630" t="s">
        <v>2072</v>
      </c>
    </row>
    <row r="10" spans="1:4">
      <c r="A10" s="1355" t="s">
        <v>1833</v>
      </c>
      <c r="B10" s="1356"/>
      <c r="C10" s="1356"/>
      <c r="D10" s="1356"/>
    </row>
    <row r="11" spans="1:4" ht="14.25">
      <c r="A11" s="916" t="s">
        <v>3826</v>
      </c>
      <c r="B11" s="916" t="s">
        <v>3827</v>
      </c>
      <c r="C11" s="916" t="s">
        <v>3828</v>
      </c>
      <c r="D11" s="715">
        <v>200</v>
      </c>
    </row>
    <row r="12" spans="1:4">
      <c r="A12" s="630" t="s">
        <v>2072</v>
      </c>
    </row>
    <row r="13" spans="1:4">
      <c r="A13" s="1355" t="s">
        <v>3829</v>
      </c>
      <c r="B13" s="1356"/>
      <c r="C13" s="1356"/>
      <c r="D13" s="1356"/>
    </row>
    <row r="14" spans="1:4">
      <c r="A14" s="916" t="s">
        <v>3830</v>
      </c>
      <c r="B14" s="916" t="s">
        <v>3831</v>
      </c>
      <c r="C14" s="916" t="s">
        <v>3832</v>
      </c>
      <c r="D14" s="715">
        <v>1295</v>
      </c>
    </row>
    <row r="15" spans="1:4">
      <c r="A15" s="916" t="s">
        <v>3833</v>
      </c>
      <c r="B15" s="916" t="s">
        <v>3834</v>
      </c>
      <c r="C15" s="916" t="s">
        <v>3835</v>
      </c>
      <c r="D15" s="715">
        <v>295</v>
      </c>
    </row>
    <row r="16" spans="1:4">
      <c r="A16" s="916" t="s">
        <v>3836</v>
      </c>
      <c r="B16" s="916" t="s">
        <v>3837</v>
      </c>
      <c r="C16" s="916" t="s">
        <v>3838</v>
      </c>
      <c r="D16" s="715">
        <v>1295</v>
      </c>
    </row>
    <row r="17" spans="1:4">
      <c r="A17" s="630" t="s">
        <v>2072</v>
      </c>
    </row>
    <row r="18" spans="1:4">
      <c r="A18" s="1361" t="s">
        <v>3839</v>
      </c>
      <c r="B18" s="1356"/>
      <c r="C18" s="1356"/>
      <c r="D18" s="1356"/>
    </row>
    <row r="39" spans="12:12">
      <c r="L39" s="630">
        <f>F39*0.0256</f>
        <v>0</v>
      </c>
    </row>
  </sheetData>
  <mergeCells count="5">
    <mergeCell ref="A1:D1"/>
    <mergeCell ref="A5:D5"/>
    <mergeCell ref="A10:D10"/>
    <mergeCell ref="A13:D13"/>
    <mergeCell ref="A18:D1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62"/>
  </sheetPr>
  <dimension ref="A1:O75"/>
  <sheetViews>
    <sheetView topLeftCell="B1" zoomScale="80" zoomScaleNormal="80" workbookViewId="0">
      <selection activeCell="D44" sqref="D44"/>
    </sheetView>
  </sheetViews>
  <sheetFormatPr defaultColWidth="8.85546875" defaultRowHeight="12.75"/>
  <cols>
    <col min="1" max="1" width="14.42578125" style="73" customWidth="1"/>
    <col min="2" max="2" width="8.85546875" style="73" customWidth="1"/>
    <col min="3" max="3" width="17.5703125" style="239" customWidth="1"/>
    <col min="4" max="4" width="49.28515625" style="73" customWidth="1"/>
    <col min="5" max="5" width="16.140625" style="73" customWidth="1"/>
    <col min="6" max="6" width="15.42578125" style="130" customWidth="1"/>
    <col min="7" max="7" width="20.5703125" style="130" customWidth="1"/>
    <col min="8" max="8" width="23.42578125" style="73" customWidth="1"/>
    <col min="9" max="9" width="20.5703125" style="73" customWidth="1"/>
    <col min="10" max="10" width="24.28515625" style="73" customWidth="1"/>
    <col min="11" max="11" width="21.140625" style="73" customWidth="1"/>
    <col min="12" max="12" width="23.85546875" style="73" customWidth="1"/>
    <col min="13" max="13" width="21.85546875" style="73" customWidth="1"/>
    <col min="14" max="14" width="23.42578125" style="73" customWidth="1"/>
    <col min="15" max="15" width="21.85546875" style="73" customWidth="1"/>
    <col min="16" max="16384" width="8.85546875" style="73"/>
  </cols>
  <sheetData>
    <row r="1" spans="1:15" s="128" customFormat="1" ht="13.5" thickBot="1">
      <c r="B1" s="213"/>
      <c r="C1" s="213"/>
      <c r="D1" s="75"/>
      <c r="E1" s="75"/>
      <c r="F1" s="76"/>
      <c r="G1" s="76"/>
      <c r="H1" s="76"/>
      <c r="I1" s="76"/>
      <c r="J1" s="76"/>
      <c r="K1" s="75"/>
      <c r="L1" s="76"/>
    </row>
    <row r="2" spans="1:15" s="128" customFormat="1">
      <c r="A2" s="347"/>
      <c r="B2" s="214"/>
      <c r="C2" s="214"/>
      <c r="D2" s="79"/>
      <c r="E2" s="79"/>
      <c r="F2" s="80"/>
      <c r="G2" s="80"/>
      <c r="H2" s="80"/>
      <c r="I2" s="81"/>
      <c r="J2" s="81"/>
      <c r="K2" s="81"/>
      <c r="L2" s="81"/>
      <c r="M2" s="347"/>
      <c r="N2" s="347"/>
      <c r="O2" s="347"/>
    </row>
    <row r="3" spans="1:15" s="128" customFormat="1">
      <c r="B3" s="213"/>
      <c r="C3" s="213"/>
      <c r="D3" s="75"/>
      <c r="E3" s="75"/>
      <c r="F3" s="76"/>
      <c r="G3" s="76"/>
      <c r="H3" s="76"/>
      <c r="I3" s="82"/>
      <c r="J3" s="82"/>
      <c r="K3" s="82"/>
      <c r="L3" s="82"/>
    </row>
    <row r="4" spans="1:15" s="128" customFormat="1" ht="27">
      <c r="A4" s="1130" t="s">
        <v>309</v>
      </c>
      <c r="B4" s="964"/>
      <c r="C4" s="964"/>
      <c r="D4" s="964"/>
      <c r="E4" s="964"/>
      <c r="F4" s="964"/>
      <c r="G4" s="964"/>
      <c r="H4" s="964"/>
      <c r="I4" s="964"/>
      <c r="J4" s="964"/>
      <c r="K4" s="964"/>
      <c r="L4" s="964"/>
      <c r="M4" s="964"/>
      <c r="N4" s="964"/>
      <c r="O4" s="964"/>
    </row>
    <row r="5" spans="1:15" ht="56.25" customHeight="1">
      <c r="A5" s="1131" t="s">
        <v>310</v>
      </c>
      <c r="B5" s="1132"/>
      <c r="C5" s="1132"/>
      <c r="D5" s="1132"/>
      <c r="E5" s="1132"/>
      <c r="F5" s="1132"/>
      <c r="G5" s="1132"/>
      <c r="H5" s="1132"/>
      <c r="I5" s="1132"/>
      <c r="J5" s="1132"/>
      <c r="K5" s="1132"/>
      <c r="L5" s="1132"/>
      <c r="M5" s="1132"/>
      <c r="N5" s="1132"/>
      <c r="O5" s="1132"/>
    </row>
    <row r="6" spans="1:15" ht="13.5" thickBot="1">
      <c r="A6" s="84"/>
      <c r="B6" s="84"/>
      <c r="C6" s="84"/>
      <c r="D6" s="84"/>
      <c r="E6" s="84"/>
      <c r="F6" s="84"/>
      <c r="G6" s="84"/>
      <c r="H6" s="84"/>
      <c r="I6" s="84"/>
      <c r="J6" s="84"/>
      <c r="K6" s="84"/>
      <c r="L6" s="84"/>
      <c r="M6" s="84"/>
      <c r="N6" s="84"/>
      <c r="O6" s="84"/>
    </row>
    <row r="7" spans="1:15">
      <c r="B7" s="239"/>
    </row>
    <row r="8" spans="1:15">
      <c r="B8" s="239"/>
    </row>
    <row r="9" spans="1:15" ht="14.25">
      <c r="B9" s="348"/>
      <c r="C9" s="348"/>
      <c r="D9" s="90"/>
      <c r="E9" s="90"/>
      <c r="F9" s="90"/>
      <c r="G9" s="90"/>
      <c r="H9" s="90"/>
      <c r="I9" s="90"/>
      <c r="J9" s="90"/>
      <c r="K9" s="82"/>
      <c r="L9" s="92"/>
      <c r="M9" s="82"/>
      <c r="N9" s="82"/>
    </row>
    <row r="10" spans="1:15" ht="14.25">
      <c r="B10" s="93"/>
      <c r="C10" s="93"/>
      <c r="D10" s="82"/>
      <c r="E10" s="82"/>
      <c r="F10" s="994" t="s">
        <v>0</v>
      </c>
      <c r="G10" s="994"/>
      <c r="H10" s="964"/>
      <c r="I10" s="964"/>
      <c r="K10" s="82"/>
      <c r="L10" s="92"/>
      <c r="M10" s="100"/>
      <c r="N10" s="82"/>
    </row>
    <row r="11" spans="1:15" ht="14.25">
      <c r="B11" s="93"/>
      <c r="C11" s="93"/>
      <c r="D11" s="82"/>
      <c r="E11" s="82"/>
      <c r="F11" s="82"/>
      <c r="G11" s="92" t="s">
        <v>261</v>
      </c>
      <c r="H11" s="407" t="s">
        <v>262</v>
      </c>
      <c r="I11" s="241"/>
      <c r="J11" s="241"/>
      <c r="K11" s="105"/>
      <c r="L11" s="92"/>
      <c r="M11" s="82"/>
      <c r="N11" s="82"/>
    </row>
    <row r="12" spans="1:15" ht="14.25">
      <c r="B12" s="93"/>
      <c r="C12" s="93"/>
      <c r="D12" s="82"/>
      <c r="E12" s="82"/>
      <c r="F12" s="82"/>
      <c r="G12" s="92" t="s">
        <v>263</v>
      </c>
      <c r="H12" s="407" t="s">
        <v>264</v>
      </c>
      <c r="I12" s="241"/>
      <c r="J12" s="241"/>
      <c r="K12" s="105"/>
      <c r="L12" s="92"/>
      <c r="M12" s="82"/>
      <c r="N12" s="82"/>
    </row>
    <row r="13" spans="1:15">
      <c r="B13" s="93"/>
      <c r="C13" s="93"/>
      <c r="D13" s="82"/>
      <c r="E13" s="82"/>
      <c r="F13" s="82"/>
      <c r="G13" s="92" t="s">
        <v>265</v>
      </c>
      <c r="H13" s="407" t="s">
        <v>311</v>
      </c>
    </row>
    <row r="14" spans="1:15" ht="14.25">
      <c r="B14" s="93"/>
      <c r="C14" s="93"/>
      <c r="D14" s="82"/>
      <c r="E14" s="82"/>
      <c r="F14" s="82"/>
      <c r="G14" s="92" t="s">
        <v>7</v>
      </c>
      <c r="H14" s="82" t="s">
        <v>312</v>
      </c>
      <c r="I14" s="241"/>
      <c r="J14" s="241"/>
      <c r="K14" s="241"/>
      <c r="L14" s="241"/>
    </row>
    <row r="15" spans="1:15" ht="14.25">
      <c r="B15" s="93"/>
      <c r="C15" s="93"/>
      <c r="D15" s="82"/>
      <c r="E15" s="82"/>
      <c r="F15" s="82"/>
      <c r="G15" s="92" t="s">
        <v>8</v>
      </c>
      <c r="H15" s="82" t="s">
        <v>313</v>
      </c>
      <c r="I15" s="241"/>
      <c r="J15" s="241"/>
      <c r="K15" s="241"/>
      <c r="L15" s="241"/>
    </row>
    <row r="16" spans="1:15" ht="14.25">
      <c r="B16" s="93"/>
      <c r="C16" s="93"/>
      <c r="D16" s="82"/>
      <c r="E16" s="82"/>
      <c r="F16" s="82"/>
      <c r="G16" s="92" t="s">
        <v>10</v>
      </c>
      <c r="H16" s="82" t="s">
        <v>269</v>
      </c>
      <c r="I16" s="241"/>
      <c r="J16" s="241"/>
      <c r="K16" s="241"/>
      <c r="L16" s="241"/>
    </row>
    <row r="17" spans="1:15" ht="14.25">
      <c r="B17" s="93"/>
      <c r="C17" s="93"/>
      <c r="D17" s="82"/>
      <c r="E17" s="82"/>
      <c r="F17" s="82"/>
      <c r="G17" s="92" t="s">
        <v>185</v>
      </c>
      <c r="H17" s="82" t="s">
        <v>314</v>
      </c>
      <c r="I17" s="241"/>
      <c r="J17" s="241"/>
      <c r="K17" s="241"/>
      <c r="L17" s="241"/>
    </row>
    <row r="18" spans="1:15" ht="14.25">
      <c r="B18" s="93"/>
      <c r="C18" s="93"/>
      <c r="D18" s="82"/>
      <c r="E18" s="82"/>
      <c r="F18" s="82"/>
      <c r="G18" s="92"/>
      <c r="H18" s="82" t="s">
        <v>315</v>
      </c>
      <c r="I18" s="241"/>
      <c r="J18" s="241"/>
      <c r="K18" s="241"/>
      <c r="L18" s="241"/>
    </row>
    <row r="19" spans="1:15" ht="14.25">
      <c r="B19" s="93"/>
      <c r="C19" s="93"/>
      <c r="D19" s="82"/>
      <c r="E19" s="82"/>
      <c r="F19" s="82"/>
      <c r="G19" s="92" t="s">
        <v>14</v>
      </c>
      <c r="H19" s="82" t="s">
        <v>272</v>
      </c>
      <c r="I19" s="91"/>
      <c r="J19" s="91"/>
      <c r="K19" s="91"/>
      <c r="L19" s="91"/>
    </row>
    <row r="20" spans="1:15" ht="14.25">
      <c r="B20" s="93"/>
      <c r="C20" s="93"/>
      <c r="D20" s="82"/>
      <c r="E20" s="82"/>
      <c r="F20" s="82"/>
      <c r="G20" s="92" t="s">
        <v>18</v>
      </c>
      <c r="H20" s="82" t="s">
        <v>316</v>
      </c>
      <c r="I20" s="91"/>
      <c r="J20" s="91"/>
      <c r="K20" s="91"/>
      <c r="L20" s="91"/>
    </row>
    <row r="21" spans="1:15" ht="14.25">
      <c r="B21" s="93"/>
      <c r="C21" s="93"/>
      <c r="D21" s="82"/>
      <c r="E21" s="82"/>
      <c r="F21" s="82"/>
      <c r="G21" s="92" t="s">
        <v>274</v>
      </c>
      <c r="H21" s="407" t="s">
        <v>317</v>
      </c>
      <c r="I21" s="91"/>
      <c r="J21" s="91"/>
      <c r="K21" s="91"/>
      <c r="L21" s="91"/>
    </row>
    <row r="22" spans="1:15" ht="14.25">
      <c r="B22" s="93"/>
      <c r="C22" s="93"/>
      <c r="D22" s="82"/>
      <c r="E22" s="82"/>
      <c r="F22" s="82"/>
      <c r="G22" s="92" t="s">
        <v>276</v>
      </c>
      <c r="H22" s="407" t="s">
        <v>318</v>
      </c>
      <c r="I22" s="91"/>
      <c r="J22" s="91"/>
      <c r="K22" s="91"/>
      <c r="L22" s="91"/>
    </row>
    <row r="23" spans="1:15" ht="14.25">
      <c r="B23" s="93"/>
      <c r="C23" s="93"/>
      <c r="D23" s="82"/>
      <c r="E23" s="82"/>
      <c r="F23" s="82"/>
      <c r="G23" s="92" t="s">
        <v>26</v>
      </c>
      <c r="H23" s="407" t="s">
        <v>319</v>
      </c>
      <c r="I23" s="91"/>
      <c r="J23" s="91"/>
      <c r="K23" s="91"/>
      <c r="L23" s="91"/>
    </row>
    <row r="24" spans="1:15" ht="13.5" customHeight="1">
      <c r="B24" s="93"/>
      <c r="C24" s="93"/>
      <c r="D24" s="82"/>
      <c r="E24" s="82"/>
      <c r="F24" s="82"/>
      <c r="G24" s="92" t="s">
        <v>28</v>
      </c>
      <c r="H24" s="163" t="s">
        <v>320</v>
      </c>
      <c r="I24" s="91"/>
      <c r="J24" s="91"/>
      <c r="K24" s="91"/>
      <c r="L24" s="91"/>
    </row>
    <row r="25" spans="1:15" s="82" customFormat="1" ht="15" thickBot="1">
      <c r="A25" s="1083" t="s">
        <v>30</v>
      </c>
      <c r="B25" s="1133"/>
      <c r="C25" s="1133"/>
      <c r="D25" s="1133"/>
      <c r="E25" s="1133"/>
      <c r="F25" s="1133"/>
      <c r="G25" s="1133"/>
      <c r="H25" s="1133"/>
      <c r="I25" s="1133"/>
      <c r="J25" s="1133"/>
      <c r="K25" s="1133"/>
      <c r="L25" s="1133"/>
      <c r="M25" s="1133"/>
      <c r="N25" s="1133"/>
      <c r="O25" s="1133"/>
    </row>
    <row r="26" spans="1:15" s="82" customFormat="1" ht="14.25">
      <c r="A26" s="1076" t="s">
        <v>280</v>
      </c>
      <c r="B26" s="1077"/>
      <c r="C26" s="1077"/>
      <c r="D26" s="1078"/>
      <c r="E26" s="1079" t="s">
        <v>281</v>
      </c>
      <c r="F26" s="1134"/>
      <c r="G26" s="1134"/>
      <c r="H26" s="1134"/>
      <c r="I26" s="1134"/>
      <c r="J26" s="1134"/>
      <c r="K26" s="1135"/>
      <c r="L26" s="1076" t="s">
        <v>282</v>
      </c>
      <c r="M26" s="1077"/>
      <c r="N26" s="1077"/>
      <c r="O26" s="1078"/>
    </row>
    <row r="27" spans="1:15" s="82" customFormat="1" ht="12.75" customHeight="1">
      <c r="A27" s="970" t="s">
        <v>33</v>
      </c>
      <c r="B27" s="1061"/>
      <c r="C27" s="1061"/>
      <c r="D27" s="217" t="s">
        <v>34</v>
      </c>
      <c r="E27" s="970" t="s">
        <v>33</v>
      </c>
      <c r="F27" s="1061"/>
      <c r="G27" s="1061"/>
      <c r="H27" s="1061"/>
      <c r="I27" s="1065" t="s">
        <v>35</v>
      </c>
      <c r="J27" s="1065"/>
      <c r="K27" s="1136"/>
      <c r="L27" s="970" t="s">
        <v>33</v>
      </c>
      <c r="M27" s="1061"/>
      <c r="N27" s="1067" t="s">
        <v>35</v>
      </c>
      <c r="O27" s="1068"/>
    </row>
    <row r="28" spans="1:15" s="82" customFormat="1" ht="12.75" customHeight="1">
      <c r="A28" s="970" t="s">
        <v>199</v>
      </c>
      <c r="B28" s="1061"/>
      <c r="C28" s="1061"/>
      <c r="D28" s="218">
        <v>0</v>
      </c>
      <c r="E28" s="970" t="s">
        <v>199</v>
      </c>
      <c r="F28" s="1061"/>
      <c r="G28" s="1061"/>
      <c r="H28" s="1061"/>
      <c r="I28" s="1073">
        <v>450</v>
      </c>
      <c r="J28" s="1073"/>
      <c r="K28" s="1137"/>
      <c r="L28" s="970" t="s">
        <v>199</v>
      </c>
      <c r="M28" s="1061"/>
      <c r="N28" s="1074">
        <v>675</v>
      </c>
      <c r="O28" s="1075"/>
    </row>
    <row r="29" spans="1:15" s="82" customFormat="1" ht="12.75" customHeight="1">
      <c r="A29" s="970" t="s">
        <v>37</v>
      </c>
      <c r="B29" s="1061"/>
      <c r="C29" s="1061"/>
      <c r="D29" s="217" t="s">
        <v>38</v>
      </c>
      <c r="E29" s="970" t="s">
        <v>37</v>
      </c>
      <c r="F29" s="1061"/>
      <c r="G29" s="1061"/>
      <c r="H29" s="1061"/>
      <c r="I29" s="1065" t="s">
        <v>200</v>
      </c>
      <c r="J29" s="1065"/>
      <c r="K29" s="1136"/>
      <c r="L29" s="970" t="s">
        <v>37</v>
      </c>
      <c r="M29" s="1061"/>
      <c r="N29" s="1067" t="s">
        <v>201</v>
      </c>
      <c r="O29" s="1068"/>
    </row>
    <row r="30" spans="1:15" s="82" customFormat="1" ht="12.75" customHeight="1">
      <c r="A30" s="970" t="s">
        <v>202</v>
      </c>
      <c r="B30" s="1061"/>
      <c r="C30" s="1061"/>
      <c r="D30" s="217" t="s">
        <v>283</v>
      </c>
      <c r="E30" s="970" t="s">
        <v>204</v>
      </c>
      <c r="F30" s="1061"/>
      <c r="G30" s="1061"/>
      <c r="H30" s="1061"/>
      <c r="I30" s="1065" t="s">
        <v>284</v>
      </c>
      <c r="J30" s="1065"/>
      <c r="K30" s="1136"/>
      <c r="L30" s="970" t="s">
        <v>40</v>
      </c>
      <c r="M30" s="1061"/>
      <c r="N30" s="1067" t="s">
        <v>284</v>
      </c>
      <c r="O30" s="1068"/>
    </row>
    <row r="31" spans="1:15" s="82" customFormat="1" ht="12.75" customHeight="1" thickBot="1">
      <c r="A31" s="968" t="s">
        <v>285</v>
      </c>
      <c r="B31" s="1062"/>
      <c r="C31" s="1062"/>
      <c r="D31" s="219" t="s">
        <v>287</v>
      </c>
      <c r="E31" s="968" t="s">
        <v>285</v>
      </c>
      <c r="F31" s="1062"/>
      <c r="G31" s="1062"/>
      <c r="H31" s="1062"/>
      <c r="I31" s="1069" t="s">
        <v>287</v>
      </c>
      <c r="J31" s="1069"/>
      <c r="K31" s="1138"/>
      <c r="L31" s="968" t="s">
        <v>285</v>
      </c>
      <c r="M31" s="1062"/>
      <c r="N31" s="974" t="s">
        <v>287</v>
      </c>
      <c r="O31" s="1139"/>
    </row>
    <row r="32" spans="1:15" ht="14.25">
      <c r="B32" s="93"/>
      <c r="C32" s="93"/>
      <c r="D32" s="105"/>
      <c r="E32" s="105"/>
      <c r="F32" s="82"/>
      <c r="G32" s="82"/>
      <c r="H32" s="92"/>
      <c r="I32" s="82"/>
      <c r="J32" s="82"/>
      <c r="K32" s="91"/>
      <c r="L32" s="82"/>
    </row>
    <row r="33" spans="1:15" s="82" customFormat="1" ht="12.75" customHeight="1">
      <c r="D33" s="105"/>
      <c r="E33" s="105"/>
      <c r="F33" s="1148"/>
      <c r="G33" s="964"/>
      <c r="H33" s="964"/>
      <c r="I33" s="964"/>
      <c r="J33" s="964"/>
      <c r="K33" s="114"/>
      <c r="L33" s="114"/>
      <c r="M33" s="92"/>
    </row>
    <row r="34" spans="1:15" s="82" customFormat="1" ht="12.75" customHeight="1">
      <c r="D34" s="105"/>
      <c r="E34" s="105"/>
      <c r="F34" s="1148"/>
      <c r="G34" s="964"/>
      <c r="H34" s="964"/>
      <c r="I34" s="964"/>
      <c r="J34" s="964"/>
      <c r="K34" s="114"/>
      <c r="L34" s="114"/>
      <c r="M34" s="92"/>
    </row>
    <row r="35" spans="1:15" ht="15" thickBot="1">
      <c r="B35" s="93"/>
      <c r="C35" s="93"/>
      <c r="D35" s="82"/>
      <c r="E35" s="82"/>
      <c r="F35" s="184"/>
      <c r="G35" s="184"/>
      <c r="H35" s="92"/>
      <c r="I35" s="82"/>
      <c r="J35" s="82"/>
      <c r="K35" s="91"/>
      <c r="L35" s="82"/>
    </row>
    <row r="36" spans="1:15" ht="13.5" thickBot="1">
      <c r="B36" s="93"/>
      <c r="C36" s="93"/>
      <c r="D36" s="82"/>
      <c r="E36" s="82"/>
      <c r="F36" s="986" t="s">
        <v>43</v>
      </c>
      <c r="G36" s="987"/>
      <c r="H36" s="991" t="s">
        <v>44</v>
      </c>
      <c r="I36" s="992"/>
      <c r="J36" s="1064"/>
      <c r="K36" s="982"/>
      <c r="L36" s="982"/>
      <c r="M36" s="982"/>
      <c r="N36" s="982"/>
      <c r="O36" s="983"/>
    </row>
    <row r="37" spans="1:15" ht="58.5" customHeight="1" thickBot="1">
      <c r="A37" s="55" t="s">
        <v>45</v>
      </c>
      <c r="B37" s="55" t="s">
        <v>46</v>
      </c>
      <c r="C37" s="384" t="s">
        <v>47</v>
      </c>
      <c r="D37" s="56" t="s">
        <v>48</v>
      </c>
      <c r="E37" s="56" t="s">
        <v>49</v>
      </c>
      <c r="F37" s="56" t="s">
        <v>50</v>
      </c>
      <c r="G37" s="55" t="s">
        <v>51</v>
      </c>
      <c r="H37" s="56" t="s">
        <v>52</v>
      </c>
      <c r="I37" s="55" t="s">
        <v>51</v>
      </c>
      <c r="J37" s="349" t="s">
        <v>53</v>
      </c>
      <c r="K37" s="55" t="s">
        <v>51</v>
      </c>
      <c r="L37" s="56" t="s">
        <v>54</v>
      </c>
      <c r="M37" s="55" t="s">
        <v>51</v>
      </c>
      <c r="N37" s="56" t="s">
        <v>55</v>
      </c>
      <c r="O37" s="55" t="s">
        <v>51</v>
      </c>
    </row>
    <row r="38" spans="1:15" s="83" customFormat="1" ht="13.5" thickBot="1">
      <c r="A38" s="988">
        <v>11</v>
      </c>
      <c r="B38" s="1141"/>
      <c r="C38" s="385" t="s">
        <v>321</v>
      </c>
      <c r="D38" s="386" t="s">
        <v>322</v>
      </c>
      <c r="E38" s="387">
        <v>2205</v>
      </c>
      <c r="F38" s="350">
        <f>SUM(E38,E39,E40)*(1-70%)</f>
        <v>772.80000000000007</v>
      </c>
      <c r="G38" s="1143">
        <f>F38*B38</f>
        <v>0</v>
      </c>
      <c r="H38" s="351">
        <f>F38*0.0832</f>
        <v>64.296959999999999</v>
      </c>
      <c r="I38" s="1143">
        <f>H38*B38</f>
        <v>0</v>
      </c>
      <c r="J38" s="352">
        <f>F38*0.0313</f>
        <v>24.188640000000003</v>
      </c>
      <c r="K38" s="1146">
        <f>J38*B38</f>
        <v>0</v>
      </c>
      <c r="L38" s="62">
        <f>F38*0.0256</f>
        <v>19.783680000000004</v>
      </c>
      <c r="M38" s="1143">
        <f>L38*B38</f>
        <v>0</v>
      </c>
      <c r="N38" s="62">
        <f>F38*0.0213</f>
        <v>16.460640000000001</v>
      </c>
      <c r="O38" s="1143">
        <f>N38*B38</f>
        <v>0</v>
      </c>
    </row>
    <row r="39" spans="1:15" ht="15" thickBot="1">
      <c r="A39" s="1140"/>
      <c r="B39" s="1142"/>
      <c r="C39" s="388" t="s">
        <v>323</v>
      </c>
      <c r="D39" s="353" t="s">
        <v>101</v>
      </c>
      <c r="E39" s="754">
        <v>296</v>
      </c>
      <c r="F39" s="748" t="s">
        <v>35</v>
      </c>
      <c r="G39" s="1144"/>
      <c r="H39" s="748" t="s">
        <v>35</v>
      </c>
      <c r="I39" s="1144"/>
      <c r="J39" s="755" t="s">
        <v>35</v>
      </c>
      <c r="K39" s="1147"/>
      <c r="L39" s="756" t="s">
        <v>35</v>
      </c>
      <c r="M39" s="1142"/>
      <c r="N39" s="756" t="s">
        <v>35</v>
      </c>
      <c r="O39" s="1142"/>
    </row>
    <row r="40" spans="1:15" ht="13.5" thickBot="1">
      <c r="A40" s="989"/>
      <c r="B40" s="990"/>
      <c r="C40" s="354" t="s">
        <v>56</v>
      </c>
      <c r="D40" s="355" t="s">
        <v>57</v>
      </c>
      <c r="E40" s="757">
        <v>75</v>
      </c>
      <c r="F40" s="748" t="s">
        <v>35</v>
      </c>
      <c r="G40" s="1145"/>
      <c r="H40" s="748" t="s">
        <v>35</v>
      </c>
      <c r="I40" s="1145"/>
      <c r="J40" s="755" t="s">
        <v>35</v>
      </c>
      <c r="K40" s="1147"/>
      <c r="L40" s="756" t="s">
        <v>35</v>
      </c>
      <c r="M40" s="1142"/>
      <c r="N40" s="756" t="s">
        <v>35</v>
      </c>
      <c r="O40" s="1149"/>
    </row>
    <row r="41" spans="1:15" ht="13.5" thickBot="1">
      <c r="A41" s="356"/>
      <c r="B41" s="67"/>
      <c r="C41" s="68"/>
      <c r="D41" s="69"/>
      <c r="E41" s="758"/>
      <c r="F41" s="749"/>
      <c r="G41" s="357"/>
      <c r="H41" s="749"/>
      <c r="I41" s="357"/>
      <c r="J41" s="749"/>
      <c r="K41" s="358"/>
      <c r="L41" s="359"/>
      <c r="M41" s="360"/>
      <c r="N41" s="360"/>
      <c r="O41" s="361"/>
    </row>
    <row r="42" spans="1:15" s="83" customFormat="1" ht="13.5" thickBot="1">
      <c r="A42" s="988" t="s">
        <v>290</v>
      </c>
      <c r="B42" s="1141"/>
      <c r="C42" s="385" t="s">
        <v>321</v>
      </c>
      <c r="D42" s="386" t="s">
        <v>324</v>
      </c>
      <c r="E42" s="387">
        <v>8800</v>
      </c>
      <c r="F42" s="350">
        <f>SUM(E42,E43,E44)*(1-70%)</f>
        <v>2751.3</v>
      </c>
      <c r="G42" s="976">
        <f>F42*B42</f>
        <v>0</v>
      </c>
      <c r="H42" s="47">
        <f>F42*0.0832+I28/12</f>
        <v>266.40816000000001</v>
      </c>
      <c r="I42" s="976">
        <f>H42*B42</f>
        <v>0</v>
      </c>
      <c r="J42" s="48">
        <f>F42*0.0313+I28/12</f>
        <v>123.61569000000001</v>
      </c>
      <c r="K42" s="1159">
        <f>J42*B42</f>
        <v>0</v>
      </c>
      <c r="L42" s="13">
        <f>F42*0.0256+I28/12</f>
        <v>107.93328000000001</v>
      </c>
      <c r="M42" s="976">
        <f>L42*B42</f>
        <v>0</v>
      </c>
      <c r="N42" s="13">
        <f>F42*0.0213+I28/12</f>
        <v>96.102689999999996</v>
      </c>
      <c r="O42" s="976">
        <f>N42*B42</f>
        <v>0</v>
      </c>
    </row>
    <row r="43" spans="1:15" ht="15" thickBot="1">
      <c r="A43" s="1140"/>
      <c r="B43" s="1142"/>
      <c r="C43" s="388" t="s">
        <v>323</v>
      </c>
      <c r="D43" s="353" t="s">
        <v>101</v>
      </c>
      <c r="E43" s="754">
        <v>296</v>
      </c>
      <c r="F43" s="748" t="s">
        <v>35</v>
      </c>
      <c r="G43" s="1158"/>
      <c r="H43" s="759" t="s">
        <v>35</v>
      </c>
      <c r="I43" s="1158"/>
      <c r="J43" s="760" t="s">
        <v>35</v>
      </c>
      <c r="K43" s="1162"/>
      <c r="L43" s="761" t="s">
        <v>35</v>
      </c>
      <c r="M43" s="1051"/>
      <c r="N43" s="761" t="s">
        <v>35</v>
      </c>
      <c r="O43" s="1051"/>
    </row>
    <row r="44" spans="1:15" ht="13.5" thickBot="1">
      <c r="A44" s="989"/>
      <c r="B44" s="990"/>
      <c r="C44" s="354" t="s">
        <v>56</v>
      </c>
      <c r="D44" s="355" t="s">
        <v>57</v>
      </c>
      <c r="E44" s="757">
        <v>75</v>
      </c>
      <c r="F44" s="748" t="s">
        <v>35</v>
      </c>
      <c r="G44" s="1145"/>
      <c r="H44" s="748" t="s">
        <v>35</v>
      </c>
      <c r="I44" s="1145"/>
      <c r="J44" s="755" t="s">
        <v>35</v>
      </c>
      <c r="K44" s="1147"/>
      <c r="L44" s="756" t="s">
        <v>35</v>
      </c>
      <c r="M44" s="1142"/>
      <c r="N44" s="756" t="s">
        <v>35</v>
      </c>
      <c r="O44" s="1149"/>
    </row>
    <row r="45" spans="1:15" ht="13.5" thickBot="1">
      <c r="A45" s="356"/>
      <c r="B45" s="67"/>
      <c r="C45" s="68"/>
      <c r="D45" s="69"/>
      <c r="E45" s="758"/>
      <c r="F45" s="762"/>
      <c r="G45" s="42"/>
      <c r="H45" s="762"/>
      <c r="I45" s="42"/>
      <c r="J45" s="762"/>
      <c r="K45" s="43"/>
      <c r="L45" s="44"/>
      <c r="M45" s="45"/>
      <c r="N45" s="45"/>
      <c r="O45" s="46"/>
    </row>
    <row r="46" spans="1:15" s="83" customFormat="1" ht="13.5" thickBot="1">
      <c r="A46" s="988" t="s">
        <v>291</v>
      </c>
      <c r="B46" s="1141"/>
      <c r="C46" s="385" t="s">
        <v>321</v>
      </c>
      <c r="D46" s="386" t="s">
        <v>324</v>
      </c>
      <c r="E46" s="387">
        <v>8800</v>
      </c>
      <c r="F46" s="350">
        <f>SUM(E46,E47,E48)*(1-70%)</f>
        <v>2751.3</v>
      </c>
      <c r="G46" s="976">
        <f>F46*B46</f>
        <v>0</v>
      </c>
      <c r="H46" s="47">
        <f>F46*0.0832+N28/12</f>
        <v>285.15816000000001</v>
      </c>
      <c r="I46" s="976">
        <f>H46*B46</f>
        <v>0</v>
      </c>
      <c r="J46" s="48">
        <f>F46*0.0313+N28/12</f>
        <v>142.36569000000003</v>
      </c>
      <c r="K46" s="1159">
        <f>J46*B46</f>
        <v>0</v>
      </c>
      <c r="L46" s="13">
        <f>F46*0.0256+N28/12</f>
        <v>126.68328000000001</v>
      </c>
      <c r="M46" s="976">
        <f>L46*B46</f>
        <v>0</v>
      </c>
      <c r="N46" s="13">
        <f>F46*0.0213+N28/12</f>
        <v>114.85269</v>
      </c>
      <c r="O46" s="976">
        <f>N46*B46</f>
        <v>0</v>
      </c>
    </row>
    <row r="47" spans="1:15" ht="15" thickBot="1">
      <c r="A47" s="1140"/>
      <c r="B47" s="1142"/>
      <c r="C47" s="388" t="s">
        <v>323</v>
      </c>
      <c r="D47" s="353" t="s">
        <v>101</v>
      </c>
      <c r="E47" s="754">
        <v>296</v>
      </c>
      <c r="F47" s="748" t="s">
        <v>35</v>
      </c>
      <c r="G47" s="1144"/>
      <c r="H47" s="748" t="s">
        <v>35</v>
      </c>
      <c r="I47" s="1144"/>
      <c r="J47" s="755" t="s">
        <v>35</v>
      </c>
      <c r="K47" s="1147"/>
      <c r="L47" s="756" t="s">
        <v>35</v>
      </c>
      <c r="M47" s="1142"/>
      <c r="N47" s="756" t="s">
        <v>35</v>
      </c>
      <c r="O47" s="1142"/>
    </row>
    <row r="48" spans="1:15" ht="13.5" thickBot="1">
      <c r="A48" s="1140"/>
      <c r="B48" s="1142"/>
      <c r="C48" s="354" t="s">
        <v>56</v>
      </c>
      <c r="D48" s="355" t="s">
        <v>57</v>
      </c>
      <c r="E48" s="757">
        <v>75</v>
      </c>
      <c r="F48" s="759" t="s">
        <v>35</v>
      </c>
      <c r="G48" s="1158"/>
      <c r="H48" s="763" t="s">
        <v>35</v>
      </c>
      <c r="I48" s="1158"/>
      <c r="J48" s="764" t="s">
        <v>35</v>
      </c>
      <c r="K48" s="1160"/>
      <c r="L48" s="765" t="s">
        <v>35</v>
      </c>
      <c r="M48" s="1051"/>
      <c r="N48" s="765" t="s">
        <v>35</v>
      </c>
      <c r="O48" s="1161"/>
    </row>
    <row r="49" spans="1:15" ht="13.5" customHeight="1" thickBot="1">
      <c r="A49" s="1150" t="s">
        <v>59</v>
      </c>
      <c r="B49" s="982"/>
      <c r="C49" s="982"/>
      <c r="D49" s="982"/>
      <c r="E49" s="982"/>
      <c r="F49" s="1151"/>
      <c r="G49" s="1151"/>
      <c r="H49" s="1151"/>
      <c r="I49" s="1151"/>
      <c r="J49" s="1151"/>
      <c r="K49" s="1151"/>
      <c r="L49" s="1151"/>
      <c r="M49" s="1151"/>
      <c r="N49" s="1151"/>
      <c r="O49" s="1152"/>
    </row>
    <row r="50" spans="1:15" ht="13.5" thickBot="1">
      <c r="A50" s="1153"/>
      <c r="B50" s="247"/>
      <c r="C50" s="346" t="s">
        <v>213</v>
      </c>
      <c r="D50" s="137" t="s">
        <v>325</v>
      </c>
      <c r="E50" s="233">
        <v>399</v>
      </c>
      <c r="F50" s="14">
        <f t="shared" ref="F50:F74" si="0">E50*(1-40%)</f>
        <v>239.39999999999998</v>
      </c>
      <c r="G50" s="2">
        <f t="shared" ref="G50:G74" si="1">F50*B50</f>
        <v>0</v>
      </c>
      <c r="H50" s="24">
        <f t="shared" ref="H50:H74" si="2">F50*0.0832</f>
        <v>19.918079999999996</v>
      </c>
      <c r="I50" s="2">
        <f t="shared" ref="I50:I74" si="3">H50*B50</f>
        <v>0</v>
      </c>
      <c r="J50" s="49">
        <f t="shared" ref="J50:J74" si="4">F50*0.0313</f>
        <v>7.49322</v>
      </c>
      <c r="K50" s="2">
        <f t="shared" ref="K50:K74" si="5">J50*B50</f>
        <v>0</v>
      </c>
      <c r="L50" s="24">
        <f t="shared" ref="L50:L74" si="6">F50*0.0256</f>
        <v>6.1286399999999999</v>
      </c>
      <c r="M50" s="2">
        <f t="shared" ref="M50:M74" si="7">L50*B50</f>
        <v>0</v>
      </c>
      <c r="N50" s="49">
        <f t="shared" ref="N50:N74" si="8">F50*0.0213</f>
        <v>5.099219999999999</v>
      </c>
      <c r="O50" s="2">
        <f t="shared" ref="O50:O74" si="9">N50*B50</f>
        <v>0</v>
      </c>
    </row>
    <row r="51" spans="1:15" ht="13.5" thickBot="1">
      <c r="A51" s="1154"/>
      <c r="B51" s="247"/>
      <c r="C51" s="346" t="s">
        <v>326</v>
      </c>
      <c r="D51" s="364" t="s">
        <v>327</v>
      </c>
      <c r="E51" s="233">
        <v>100</v>
      </c>
      <c r="F51" s="14">
        <f t="shared" si="0"/>
        <v>60</v>
      </c>
      <c r="G51" s="3">
        <f t="shared" si="1"/>
        <v>0</v>
      </c>
      <c r="H51" s="24">
        <f t="shared" si="2"/>
        <v>4.992</v>
      </c>
      <c r="I51" s="2">
        <f t="shared" si="3"/>
        <v>0</v>
      </c>
      <c r="J51" s="49">
        <f t="shared" si="4"/>
        <v>1.8780000000000001</v>
      </c>
      <c r="K51" s="2">
        <f t="shared" si="5"/>
        <v>0</v>
      </c>
      <c r="L51" s="24">
        <f t="shared" si="6"/>
        <v>1.536</v>
      </c>
      <c r="M51" s="2">
        <f t="shared" si="7"/>
        <v>0</v>
      </c>
      <c r="N51" s="49">
        <f t="shared" si="8"/>
        <v>1.278</v>
      </c>
      <c r="O51" s="2">
        <f t="shared" si="9"/>
        <v>0</v>
      </c>
    </row>
    <row r="52" spans="1:15" ht="13.5" thickBot="1">
      <c r="A52" s="1154"/>
      <c r="B52" s="72"/>
      <c r="C52" s="346" t="s">
        <v>328</v>
      </c>
      <c r="D52" s="364" t="s">
        <v>329</v>
      </c>
      <c r="E52" s="233">
        <v>200</v>
      </c>
      <c r="F52" s="14">
        <f t="shared" si="0"/>
        <v>120</v>
      </c>
      <c r="G52" s="3">
        <f t="shared" si="1"/>
        <v>0</v>
      </c>
      <c r="H52" s="24">
        <f t="shared" si="2"/>
        <v>9.984</v>
      </c>
      <c r="I52" s="2">
        <f t="shared" si="3"/>
        <v>0</v>
      </c>
      <c r="J52" s="49">
        <f t="shared" si="4"/>
        <v>3.7560000000000002</v>
      </c>
      <c r="K52" s="2">
        <f t="shared" si="5"/>
        <v>0</v>
      </c>
      <c r="L52" s="24">
        <f t="shared" si="6"/>
        <v>3.0720000000000001</v>
      </c>
      <c r="M52" s="2">
        <f t="shared" si="7"/>
        <v>0</v>
      </c>
      <c r="N52" s="49">
        <f t="shared" si="8"/>
        <v>2.556</v>
      </c>
      <c r="O52" s="2">
        <f t="shared" si="9"/>
        <v>0</v>
      </c>
    </row>
    <row r="53" spans="1:15" ht="13.5" thickBot="1">
      <c r="A53" s="1154"/>
      <c r="B53" s="72"/>
      <c r="C53" s="346" t="s">
        <v>330</v>
      </c>
      <c r="D53" s="364" t="s">
        <v>331</v>
      </c>
      <c r="E53" s="233">
        <v>299</v>
      </c>
      <c r="F53" s="138">
        <f t="shared" si="0"/>
        <v>179.4</v>
      </c>
      <c r="G53" s="3">
        <f t="shared" si="1"/>
        <v>0</v>
      </c>
      <c r="H53" s="362">
        <f t="shared" si="2"/>
        <v>14.926079999999999</v>
      </c>
      <c r="I53" s="2">
        <f t="shared" si="3"/>
        <v>0</v>
      </c>
      <c r="J53" s="363">
        <f t="shared" si="4"/>
        <v>5.6152200000000008</v>
      </c>
      <c r="K53" s="2">
        <f t="shared" si="5"/>
        <v>0</v>
      </c>
      <c r="L53" s="362">
        <f t="shared" si="6"/>
        <v>4.5926400000000003</v>
      </c>
      <c r="M53" s="2">
        <f t="shared" si="7"/>
        <v>0</v>
      </c>
      <c r="N53" s="363">
        <f t="shared" si="8"/>
        <v>3.8212199999999998</v>
      </c>
      <c r="O53" s="2">
        <f t="shared" si="9"/>
        <v>0</v>
      </c>
    </row>
    <row r="54" spans="1:15" ht="13.5" thickBot="1">
      <c r="A54" s="1154"/>
      <c r="B54" s="247"/>
      <c r="C54" s="346">
        <v>7640013463</v>
      </c>
      <c r="D54" s="364" t="s">
        <v>60</v>
      </c>
      <c r="E54" s="233">
        <v>329</v>
      </c>
      <c r="F54" s="14">
        <f>E54*(1-40%)</f>
        <v>197.4</v>
      </c>
      <c r="G54" s="3">
        <f>F54*B54</f>
        <v>0</v>
      </c>
      <c r="H54" s="24">
        <f t="shared" si="2"/>
        <v>16.423680000000001</v>
      </c>
      <c r="I54" s="2">
        <f>H54*B54</f>
        <v>0</v>
      </c>
      <c r="J54" s="49">
        <f t="shared" si="4"/>
        <v>6.1786200000000004</v>
      </c>
      <c r="K54" s="2">
        <f>J54*B54</f>
        <v>0</v>
      </c>
      <c r="L54" s="24">
        <f t="shared" si="6"/>
        <v>5.0534400000000002</v>
      </c>
      <c r="M54" s="2">
        <f>L54*B54</f>
        <v>0</v>
      </c>
      <c r="N54" s="49">
        <f t="shared" si="8"/>
        <v>4.2046200000000002</v>
      </c>
      <c r="O54" s="2">
        <f>N54*B54</f>
        <v>0</v>
      </c>
    </row>
    <row r="55" spans="1:15" ht="13.5" thickBot="1">
      <c r="A55" s="1154"/>
      <c r="B55" s="72"/>
      <c r="C55" s="346" t="s">
        <v>113</v>
      </c>
      <c r="D55" s="364" t="s">
        <v>114</v>
      </c>
      <c r="E55" s="233">
        <v>200</v>
      </c>
      <c r="F55" s="14">
        <f>E55*(1-40%)</f>
        <v>120</v>
      </c>
      <c r="G55" s="3">
        <f>F55*B55</f>
        <v>0</v>
      </c>
      <c r="H55" s="24">
        <f t="shared" si="2"/>
        <v>9.984</v>
      </c>
      <c r="I55" s="2">
        <f>H55*B55</f>
        <v>0</v>
      </c>
      <c r="J55" s="49">
        <f t="shared" si="4"/>
        <v>3.7560000000000002</v>
      </c>
      <c r="K55" s="2">
        <f>J55*B55</f>
        <v>0</v>
      </c>
      <c r="L55" s="24">
        <f t="shared" si="6"/>
        <v>3.0720000000000001</v>
      </c>
      <c r="M55" s="2">
        <f>L55*B55</f>
        <v>0</v>
      </c>
      <c r="N55" s="49">
        <f t="shared" si="8"/>
        <v>2.556</v>
      </c>
      <c r="O55" s="2">
        <f>N55*B55</f>
        <v>0</v>
      </c>
    </row>
    <row r="56" spans="1:15" ht="13.5" thickBot="1">
      <c r="A56" s="1154"/>
      <c r="B56" s="72"/>
      <c r="C56" s="346" t="s">
        <v>115</v>
      </c>
      <c r="D56" s="364" t="s">
        <v>116</v>
      </c>
      <c r="E56" s="233">
        <v>279</v>
      </c>
      <c r="F56" s="138">
        <f>E56*(1-40%)</f>
        <v>167.4</v>
      </c>
      <c r="G56" s="3">
        <f>F56*B56</f>
        <v>0</v>
      </c>
      <c r="H56" s="362">
        <f t="shared" si="2"/>
        <v>13.927680000000001</v>
      </c>
      <c r="I56" s="2">
        <f>H56*B56</f>
        <v>0</v>
      </c>
      <c r="J56" s="363">
        <f t="shared" si="4"/>
        <v>5.2396200000000004</v>
      </c>
      <c r="K56" s="2">
        <f>J56*B56</f>
        <v>0</v>
      </c>
      <c r="L56" s="362">
        <f t="shared" si="6"/>
        <v>4.2854400000000004</v>
      </c>
      <c r="M56" s="2">
        <f>L56*B56</f>
        <v>0</v>
      </c>
      <c r="N56" s="363">
        <f t="shared" si="8"/>
        <v>3.56562</v>
      </c>
      <c r="O56" s="2">
        <f>N56*B56</f>
        <v>0</v>
      </c>
    </row>
    <row r="57" spans="1:15" ht="13.5" thickBot="1">
      <c r="A57" s="1154"/>
      <c r="B57" s="251"/>
      <c r="C57" s="346" t="s">
        <v>295</v>
      </c>
      <c r="D57" s="364" t="s">
        <v>120</v>
      </c>
      <c r="E57" s="233">
        <v>222.6</v>
      </c>
      <c r="F57" s="138">
        <f t="shared" si="0"/>
        <v>133.56</v>
      </c>
      <c r="G57" s="132">
        <f t="shared" si="1"/>
        <v>0</v>
      </c>
      <c r="H57" s="362">
        <f t="shared" si="2"/>
        <v>11.112192</v>
      </c>
      <c r="I57" s="365">
        <f t="shared" si="3"/>
        <v>0</v>
      </c>
      <c r="J57" s="363">
        <f t="shared" si="4"/>
        <v>4.180428</v>
      </c>
      <c r="K57" s="365">
        <f t="shared" si="5"/>
        <v>0</v>
      </c>
      <c r="L57" s="362">
        <f t="shared" si="6"/>
        <v>3.4191360000000004</v>
      </c>
      <c r="M57" s="365">
        <f t="shared" si="7"/>
        <v>0</v>
      </c>
      <c r="N57" s="363">
        <f t="shared" si="8"/>
        <v>2.8448280000000001</v>
      </c>
      <c r="O57" s="365">
        <f t="shared" si="9"/>
        <v>0</v>
      </c>
    </row>
    <row r="58" spans="1:15" ht="13.5" thickBot="1">
      <c r="A58" s="1154"/>
      <c r="B58" s="247"/>
      <c r="C58" s="346" t="s">
        <v>121</v>
      </c>
      <c r="D58" s="176" t="s">
        <v>122</v>
      </c>
      <c r="E58" s="233">
        <v>239</v>
      </c>
      <c r="F58" s="138">
        <f t="shared" si="0"/>
        <v>143.4</v>
      </c>
      <c r="G58" s="132">
        <f t="shared" si="1"/>
        <v>0</v>
      </c>
      <c r="H58" s="362">
        <f t="shared" si="2"/>
        <v>11.93088</v>
      </c>
      <c r="I58" s="365">
        <f t="shared" si="3"/>
        <v>0</v>
      </c>
      <c r="J58" s="363">
        <f t="shared" si="4"/>
        <v>4.4884200000000005</v>
      </c>
      <c r="K58" s="365">
        <f t="shared" si="5"/>
        <v>0</v>
      </c>
      <c r="L58" s="362">
        <f t="shared" si="6"/>
        <v>3.6710400000000005</v>
      </c>
      <c r="M58" s="365">
        <f t="shared" si="7"/>
        <v>0</v>
      </c>
      <c r="N58" s="363">
        <f t="shared" si="8"/>
        <v>3.0544199999999999</v>
      </c>
      <c r="O58" s="365">
        <f t="shared" si="9"/>
        <v>0</v>
      </c>
    </row>
    <row r="59" spans="1:15" ht="13.5" thickBot="1">
      <c r="A59" s="1154"/>
      <c r="B59" s="251"/>
      <c r="C59" s="346" t="s">
        <v>332</v>
      </c>
      <c r="D59" s="176" t="s">
        <v>333</v>
      </c>
      <c r="E59" s="233">
        <v>299</v>
      </c>
      <c r="F59" s="138">
        <f t="shared" si="0"/>
        <v>179.4</v>
      </c>
      <c r="G59" s="132">
        <f t="shared" si="1"/>
        <v>0</v>
      </c>
      <c r="H59" s="362">
        <f t="shared" si="2"/>
        <v>14.926079999999999</v>
      </c>
      <c r="I59" s="365">
        <f t="shared" si="3"/>
        <v>0</v>
      </c>
      <c r="J59" s="363">
        <f t="shared" si="4"/>
        <v>5.6152200000000008</v>
      </c>
      <c r="K59" s="365">
        <f t="shared" si="5"/>
        <v>0</v>
      </c>
      <c r="L59" s="362">
        <f t="shared" si="6"/>
        <v>4.5926400000000003</v>
      </c>
      <c r="M59" s="365">
        <f t="shared" si="7"/>
        <v>0</v>
      </c>
      <c r="N59" s="363">
        <f t="shared" si="8"/>
        <v>3.8212199999999998</v>
      </c>
      <c r="O59" s="365">
        <f t="shared" si="9"/>
        <v>0</v>
      </c>
    </row>
    <row r="60" spans="1:15" ht="13.5" thickBot="1">
      <c r="A60" s="1154"/>
      <c r="B60" s="247"/>
      <c r="C60" s="346" t="s">
        <v>125</v>
      </c>
      <c r="D60" s="176" t="s">
        <v>126</v>
      </c>
      <c r="E60" s="233">
        <v>123</v>
      </c>
      <c r="F60" s="138">
        <f t="shared" si="0"/>
        <v>73.8</v>
      </c>
      <c r="G60" s="132">
        <f t="shared" si="1"/>
        <v>0</v>
      </c>
      <c r="H60" s="362">
        <f t="shared" si="2"/>
        <v>6.1401599999999998</v>
      </c>
      <c r="I60" s="365">
        <f t="shared" si="3"/>
        <v>0</v>
      </c>
      <c r="J60" s="363">
        <f t="shared" si="4"/>
        <v>2.3099400000000001</v>
      </c>
      <c r="K60" s="365">
        <f t="shared" si="5"/>
        <v>0</v>
      </c>
      <c r="L60" s="362">
        <f t="shared" si="6"/>
        <v>1.8892800000000001</v>
      </c>
      <c r="M60" s="365">
        <f t="shared" si="7"/>
        <v>0</v>
      </c>
      <c r="N60" s="363">
        <f t="shared" si="8"/>
        <v>1.5719399999999999</v>
      </c>
      <c r="O60" s="365">
        <f t="shared" si="9"/>
        <v>0</v>
      </c>
    </row>
    <row r="61" spans="1:15" ht="13.5" thickBot="1">
      <c r="A61" s="1154"/>
      <c r="B61" s="72"/>
      <c r="C61" s="346" t="s">
        <v>127</v>
      </c>
      <c r="D61" s="364" t="s">
        <v>247</v>
      </c>
      <c r="E61" s="233">
        <v>126</v>
      </c>
      <c r="F61" s="14">
        <f t="shared" si="0"/>
        <v>75.599999999999994</v>
      </c>
      <c r="G61" s="3">
        <f t="shared" si="1"/>
        <v>0</v>
      </c>
      <c r="H61" s="24">
        <f t="shared" si="2"/>
        <v>6.2899199999999995</v>
      </c>
      <c r="I61" s="2">
        <f t="shared" si="3"/>
        <v>0</v>
      </c>
      <c r="J61" s="49">
        <f t="shared" si="4"/>
        <v>2.3662799999999997</v>
      </c>
      <c r="K61" s="2">
        <f t="shared" si="5"/>
        <v>0</v>
      </c>
      <c r="L61" s="24">
        <f t="shared" si="6"/>
        <v>1.93536</v>
      </c>
      <c r="M61" s="2">
        <f t="shared" si="7"/>
        <v>0</v>
      </c>
      <c r="N61" s="49">
        <f t="shared" si="8"/>
        <v>1.6102799999999999</v>
      </c>
      <c r="O61" s="2">
        <f t="shared" si="9"/>
        <v>0</v>
      </c>
    </row>
    <row r="62" spans="1:15" ht="26.25" thickBot="1">
      <c r="A62" s="1154"/>
      <c r="B62" s="72"/>
      <c r="C62" s="346" t="s">
        <v>215</v>
      </c>
      <c r="D62" s="364" t="s">
        <v>334</v>
      </c>
      <c r="E62" s="233">
        <v>1100</v>
      </c>
      <c r="F62" s="138">
        <f t="shared" si="0"/>
        <v>660</v>
      </c>
      <c r="G62" s="3">
        <f t="shared" si="1"/>
        <v>0</v>
      </c>
      <c r="H62" s="362">
        <f t="shared" si="2"/>
        <v>54.911999999999999</v>
      </c>
      <c r="I62" s="2">
        <f t="shared" si="3"/>
        <v>0</v>
      </c>
      <c r="J62" s="363">
        <f t="shared" si="4"/>
        <v>20.658000000000001</v>
      </c>
      <c r="K62" s="2">
        <f t="shared" si="5"/>
        <v>0</v>
      </c>
      <c r="L62" s="362">
        <f t="shared" si="6"/>
        <v>16.896000000000001</v>
      </c>
      <c r="M62" s="2">
        <f t="shared" si="7"/>
        <v>0</v>
      </c>
      <c r="N62" s="363">
        <f t="shared" si="8"/>
        <v>14.058</v>
      </c>
      <c r="O62" s="2">
        <f t="shared" si="9"/>
        <v>0</v>
      </c>
    </row>
    <row r="63" spans="1:15" ht="13.5" thickBot="1">
      <c r="A63" s="1154"/>
      <c r="B63" s="251"/>
      <c r="C63" s="346" t="s">
        <v>129</v>
      </c>
      <c r="D63" s="364" t="s">
        <v>171</v>
      </c>
      <c r="E63" s="233">
        <v>785</v>
      </c>
      <c r="F63" s="138">
        <f t="shared" si="0"/>
        <v>471</v>
      </c>
      <c r="G63" s="132">
        <f t="shared" si="1"/>
        <v>0</v>
      </c>
      <c r="H63" s="362">
        <f t="shared" si="2"/>
        <v>39.187199999999997</v>
      </c>
      <c r="I63" s="365">
        <f t="shared" si="3"/>
        <v>0</v>
      </c>
      <c r="J63" s="363">
        <f t="shared" si="4"/>
        <v>14.7423</v>
      </c>
      <c r="K63" s="365">
        <f t="shared" si="5"/>
        <v>0</v>
      </c>
      <c r="L63" s="362">
        <f t="shared" si="6"/>
        <v>12.057600000000001</v>
      </c>
      <c r="M63" s="365">
        <f t="shared" si="7"/>
        <v>0</v>
      </c>
      <c r="N63" s="363">
        <f t="shared" si="8"/>
        <v>10.032299999999999</v>
      </c>
      <c r="O63" s="365">
        <f t="shared" si="9"/>
        <v>0</v>
      </c>
    </row>
    <row r="64" spans="1:15" ht="13.5" thickBot="1">
      <c r="A64" s="1154"/>
      <c r="B64" s="247"/>
      <c r="C64" s="346" t="s">
        <v>216</v>
      </c>
      <c r="D64" s="176" t="s">
        <v>335</v>
      </c>
      <c r="E64" s="233">
        <v>667.8</v>
      </c>
      <c r="F64" s="138">
        <f t="shared" si="0"/>
        <v>400.67999999999995</v>
      </c>
      <c r="G64" s="132">
        <f t="shared" si="1"/>
        <v>0</v>
      </c>
      <c r="H64" s="362">
        <f t="shared" si="2"/>
        <v>33.336575999999994</v>
      </c>
      <c r="I64" s="365">
        <f t="shared" si="3"/>
        <v>0</v>
      </c>
      <c r="J64" s="363">
        <f t="shared" si="4"/>
        <v>12.541283999999999</v>
      </c>
      <c r="K64" s="365">
        <f t="shared" si="5"/>
        <v>0</v>
      </c>
      <c r="L64" s="362">
        <f t="shared" si="6"/>
        <v>10.257408</v>
      </c>
      <c r="M64" s="365">
        <f t="shared" si="7"/>
        <v>0</v>
      </c>
      <c r="N64" s="363">
        <f t="shared" si="8"/>
        <v>8.5344839999999991</v>
      </c>
      <c r="O64" s="365">
        <f t="shared" si="9"/>
        <v>0</v>
      </c>
    </row>
    <row r="65" spans="1:15" ht="13.5" thickBot="1">
      <c r="A65" s="1154"/>
      <c r="B65" s="251"/>
      <c r="C65" s="346" t="s">
        <v>131</v>
      </c>
      <c r="D65" s="176" t="s">
        <v>336</v>
      </c>
      <c r="E65" s="233">
        <v>821</v>
      </c>
      <c r="F65" s="138">
        <f t="shared" si="0"/>
        <v>492.59999999999997</v>
      </c>
      <c r="G65" s="132">
        <f t="shared" si="1"/>
        <v>0</v>
      </c>
      <c r="H65" s="362">
        <f t="shared" si="2"/>
        <v>40.984319999999997</v>
      </c>
      <c r="I65" s="365">
        <f t="shared" si="3"/>
        <v>0</v>
      </c>
      <c r="J65" s="363">
        <f t="shared" si="4"/>
        <v>15.418379999999999</v>
      </c>
      <c r="K65" s="365">
        <f t="shared" si="5"/>
        <v>0</v>
      </c>
      <c r="L65" s="362">
        <f t="shared" si="6"/>
        <v>12.61056</v>
      </c>
      <c r="M65" s="365">
        <f t="shared" si="7"/>
        <v>0</v>
      </c>
      <c r="N65" s="363">
        <f t="shared" si="8"/>
        <v>10.492379999999999</v>
      </c>
      <c r="O65" s="365">
        <f t="shared" si="9"/>
        <v>0</v>
      </c>
    </row>
    <row r="66" spans="1:15" ht="13.5" thickBot="1">
      <c r="A66" s="1154"/>
      <c r="B66" s="247"/>
      <c r="C66" s="346" t="s">
        <v>133</v>
      </c>
      <c r="D66" s="176" t="s">
        <v>337</v>
      </c>
      <c r="E66" s="233">
        <v>690</v>
      </c>
      <c r="F66" s="138">
        <f t="shared" si="0"/>
        <v>414</v>
      </c>
      <c r="G66" s="132">
        <f t="shared" si="1"/>
        <v>0</v>
      </c>
      <c r="H66" s="362">
        <f t="shared" si="2"/>
        <v>34.444800000000001</v>
      </c>
      <c r="I66" s="365">
        <f t="shared" si="3"/>
        <v>0</v>
      </c>
      <c r="J66" s="363">
        <f t="shared" si="4"/>
        <v>12.9582</v>
      </c>
      <c r="K66" s="365">
        <f t="shared" si="5"/>
        <v>0</v>
      </c>
      <c r="L66" s="362">
        <f t="shared" si="6"/>
        <v>10.5984</v>
      </c>
      <c r="M66" s="365">
        <f t="shared" si="7"/>
        <v>0</v>
      </c>
      <c r="N66" s="363">
        <f t="shared" si="8"/>
        <v>8.8181999999999992</v>
      </c>
      <c r="O66" s="365">
        <f t="shared" si="9"/>
        <v>0</v>
      </c>
    </row>
    <row r="67" spans="1:15" ht="13.5" thickBot="1">
      <c r="A67" s="1154"/>
      <c r="B67" s="247"/>
      <c r="C67" s="346" t="s">
        <v>135</v>
      </c>
      <c r="D67" s="364" t="s">
        <v>338</v>
      </c>
      <c r="E67" s="233">
        <v>191</v>
      </c>
      <c r="F67" s="138">
        <f t="shared" si="0"/>
        <v>114.6</v>
      </c>
      <c r="G67" s="132">
        <f t="shared" si="1"/>
        <v>0</v>
      </c>
      <c r="H67" s="362">
        <f t="shared" si="2"/>
        <v>9.5347199999999983</v>
      </c>
      <c r="I67" s="365">
        <f t="shared" si="3"/>
        <v>0</v>
      </c>
      <c r="J67" s="363">
        <f t="shared" si="4"/>
        <v>3.5869800000000001</v>
      </c>
      <c r="K67" s="365">
        <f t="shared" si="5"/>
        <v>0</v>
      </c>
      <c r="L67" s="362">
        <f t="shared" si="6"/>
        <v>2.9337599999999999</v>
      </c>
      <c r="M67" s="365">
        <f t="shared" si="7"/>
        <v>0</v>
      </c>
      <c r="N67" s="363">
        <f t="shared" si="8"/>
        <v>2.4409799999999997</v>
      </c>
      <c r="O67" s="365">
        <f t="shared" si="9"/>
        <v>0</v>
      </c>
    </row>
    <row r="68" spans="1:15" ht="13.5" thickBot="1">
      <c r="A68" s="1154"/>
      <c r="B68" s="247"/>
      <c r="C68" s="346" t="s">
        <v>137</v>
      </c>
      <c r="D68" s="364" t="s">
        <v>248</v>
      </c>
      <c r="E68" s="233">
        <v>1500</v>
      </c>
      <c r="F68" s="138">
        <f t="shared" si="0"/>
        <v>900</v>
      </c>
      <c r="G68" s="132">
        <f t="shared" si="1"/>
        <v>0</v>
      </c>
      <c r="H68" s="362">
        <f t="shared" si="2"/>
        <v>74.88</v>
      </c>
      <c r="I68" s="365">
        <f t="shared" si="3"/>
        <v>0</v>
      </c>
      <c r="J68" s="363">
        <f t="shared" si="4"/>
        <v>28.17</v>
      </c>
      <c r="K68" s="365">
        <f t="shared" si="5"/>
        <v>0</v>
      </c>
      <c r="L68" s="362">
        <f t="shared" si="6"/>
        <v>23.040000000000003</v>
      </c>
      <c r="M68" s="365">
        <f t="shared" si="7"/>
        <v>0</v>
      </c>
      <c r="N68" s="363">
        <f t="shared" si="8"/>
        <v>19.169999999999998</v>
      </c>
      <c r="O68" s="365">
        <f t="shared" si="9"/>
        <v>0</v>
      </c>
    </row>
    <row r="69" spans="1:15" ht="13.5" thickBot="1">
      <c r="A69" s="1154"/>
      <c r="B69" s="249"/>
      <c r="C69" s="346" t="s">
        <v>139</v>
      </c>
      <c r="D69" s="176" t="s">
        <v>297</v>
      </c>
      <c r="E69" s="233">
        <v>250</v>
      </c>
      <c r="F69" s="138">
        <f t="shared" si="0"/>
        <v>150</v>
      </c>
      <c r="G69" s="132">
        <f t="shared" si="1"/>
        <v>0</v>
      </c>
      <c r="H69" s="362">
        <f t="shared" si="2"/>
        <v>12.479999999999999</v>
      </c>
      <c r="I69" s="365">
        <f t="shared" si="3"/>
        <v>0</v>
      </c>
      <c r="J69" s="363">
        <f t="shared" si="4"/>
        <v>4.6950000000000003</v>
      </c>
      <c r="K69" s="365">
        <f t="shared" si="5"/>
        <v>0</v>
      </c>
      <c r="L69" s="362">
        <f t="shared" si="6"/>
        <v>3.8400000000000003</v>
      </c>
      <c r="M69" s="365">
        <f t="shared" si="7"/>
        <v>0</v>
      </c>
      <c r="N69" s="363">
        <f t="shared" si="8"/>
        <v>3.1949999999999998</v>
      </c>
      <c r="O69" s="365">
        <f t="shared" si="9"/>
        <v>0</v>
      </c>
    </row>
    <row r="70" spans="1:15" ht="13.5" thickBot="1">
      <c r="A70" s="1154"/>
      <c r="B70" s="72"/>
      <c r="C70" s="346" t="s">
        <v>143</v>
      </c>
      <c r="D70" s="176" t="s">
        <v>339</v>
      </c>
      <c r="E70" s="233">
        <v>86</v>
      </c>
      <c r="F70" s="138">
        <f t="shared" si="0"/>
        <v>51.6</v>
      </c>
      <c r="G70" s="132">
        <f t="shared" si="1"/>
        <v>0</v>
      </c>
      <c r="H70" s="362">
        <f t="shared" si="2"/>
        <v>4.29312</v>
      </c>
      <c r="I70" s="365">
        <f t="shared" si="3"/>
        <v>0</v>
      </c>
      <c r="J70" s="363">
        <f t="shared" si="4"/>
        <v>1.6150800000000001</v>
      </c>
      <c r="K70" s="365">
        <f t="shared" si="5"/>
        <v>0</v>
      </c>
      <c r="L70" s="362">
        <f t="shared" si="6"/>
        <v>1.3209600000000001</v>
      </c>
      <c r="M70" s="365">
        <f t="shared" si="7"/>
        <v>0</v>
      </c>
      <c r="N70" s="363">
        <f t="shared" si="8"/>
        <v>1.0990800000000001</v>
      </c>
      <c r="O70" s="365">
        <f t="shared" si="9"/>
        <v>0</v>
      </c>
    </row>
    <row r="71" spans="1:15" ht="13.5" thickBot="1">
      <c r="A71" s="1154"/>
      <c r="B71" s="247"/>
      <c r="C71" s="346" t="s">
        <v>340</v>
      </c>
      <c r="D71" s="364" t="s">
        <v>341</v>
      </c>
      <c r="E71" s="233">
        <v>340</v>
      </c>
      <c r="F71" s="138">
        <f t="shared" si="0"/>
        <v>204</v>
      </c>
      <c r="G71" s="132">
        <f t="shared" si="1"/>
        <v>0</v>
      </c>
      <c r="H71" s="362">
        <f t="shared" si="2"/>
        <v>16.972799999999999</v>
      </c>
      <c r="I71" s="365">
        <f t="shared" si="3"/>
        <v>0</v>
      </c>
      <c r="J71" s="363">
        <f t="shared" si="4"/>
        <v>6.3852000000000002</v>
      </c>
      <c r="K71" s="365">
        <f t="shared" si="5"/>
        <v>0</v>
      </c>
      <c r="L71" s="362">
        <f t="shared" si="6"/>
        <v>5.2224000000000004</v>
      </c>
      <c r="M71" s="365">
        <f t="shared" si="7"/>
        <v>0</v>
      </c>
      <c r="N71" s="363">
        <f t="shared" si="8"/>
        <v>4.3452000000000002</v>
      </c>
      <c r="O71" s="365">
        <f t="shared" si="9"/>
        <v>0</v>
      </c>
    </row>
    <row r="72" spans="1:15" ht="13.5" thickBot="1">
      <c r="A72" s="1154"/>
      <c r="B72" s="72"/>
      <c r="C72" s="346" t="s">
        <v>145</v>
      </c>
      <c r="D72" s="364" t="s">
        <v>146</v>
      </c>
      <c r="E72" s="233">
        <v>340</v>
      </c>
      <c r="F72" s="138">
        <f t="shared" si="0"/>
        <v>204</v>
      </c>
      <c r="G72" s="132">
        <f t="shared" si="1"/>
        <v>0</v>
      </c>
      <c r="H72" s="362">
        <f t="shared" si="2"/>
        <v>16.972799999999999</v>
      </c>
      <c r="I72" s="365">
        <f t="shared" si="3"/>
        <v>0</v>
      </c>
      <c r="J72" s="363">
        <f t="shared" si="4"/>
        <v>6.3852000000000002</v>
      </c>
      <c r="K72" s="365">
        <f t="shared" si="5"/>
        <v>0</v>
      </c>
      <c r="L72" s="362">
        <f t="shared" si="6"/>
        <v>5.2224000000000004</v>
      </c>
      <c r="M72" s="365">
        <f t="shared" si="7"/>
        <v>0</v>
      </c>
      <c r="N72" s="363">
        <f t="shared" si="8"/>
        <v>4.3452000000000002</v>
      </c>
      <c r="O72" s="365">
        <f t="shared" si="9"/>
        <v>0</v>
      </c>
    </row>
    <row r="73" spans="1:15" ht="13.5" thickBot="1">
      <c r="A73" s="1154"/>
      <c r="B73" s="247"/>
      <c r="C73" s="346" t="s">
        <v>149</v>
      </c>
      <c r="D73" s="364" t="s">
        <v>150</v>
      </c>
      <c r="E73" s="233">
        <v>120</v>
      </c>
      <c r="F73" s="138">
        <f t="shared" si="0"/>
        <v>72</v>
      </c>
      <c r="G73" s="132">
        <f t="shared" si="1"/>
        <v>0</v>
      </c>
      <c r="H73" s="362">
        <f t="shared" si="2"/>
        <v>5.9903999999999993</v>
      </c>
      <c r="I73" s="365">
        <f t="shared" si="3"/>
        <v>0</v>
      </c>
      <c r="J73" s="363">
        <f t="shared" si="4"/>
        <v>2.2536</v>
      </c>
      <c r="K73" s="365">
        <f t="shared" si="5"/>
        <v>0</v>
      </c>
      <c r="L73" s="362">
        <f t="shared" si="6"/>
        <v>1.8432000000000002</v>
      </c>
      <c r="M73" s="365">
        <f t="shared" si="7"/>
        <v>0</v>
      </c>
      <c r="N73" s="363">
        <f t="shared" si="8"/>
        <v>1.5335999999999999</v>
      </c>
      <c r="O73" s="365">
        <f t="shared" si="9"/>
        <v>0</v>
      </c>
    </row>
    <row r="74" spans="1:15" ht="13.5" thickBot="1">
      <c r="A74" s="1155"/>
      <c r="B74" s="247"/>
      <c r="C74" s="346" t="s">
        <v>151</v>
      </c>
      <c r="D74" s="364" t="s">
        <v>152</v>
      </c>
      <c r="E74" s="233">
        <v>120</v>
      </c>
      <c r="F74" s="138">
        <f t="shared" si="0"/>
        <v>72</v>
      </c>
      <c r="G74" s="132">
        <f t="shared" si="1"/>
        <v>0</v>
      </c>
      <c r="H74" s="362">
        <f t="shared" si="2"/>
        <v>5.9903999999999993</v>
      </c>
      <c r="I74" s="365">
        <f t="shared" si="3"/>
        <v>0</v>
      </c>
      <c r="J74" s="363">
        <f t="shared" si="4"/>
        <v>2.2536</v>
      </c>
      <c r="K74" s="365">
        <f t="shared" si="5"/>
        <v>0</v>
      </c>
      <c r="L74" s="362">
        <f t="shared" si="6"/>
        <v>1.8432000000000002</v>
      </c>
      <c r="M74" s="365">
        <f t="shared" si="7"/>
        <v>0</v>
      </c>
      <c r="N74" s="363">
        <f t="shared" si="8"/>
        <v>1.5335999999999999</v>
      </c>
      <c r="O74" s="365">
        <f t="shared" si="9"/>
        <v>0</v>
      </c>
    </row>
    <row r="75" spans="1:15">
      <c r="C75" s="368"/>
      <c r="D75" s="1156" t="s">
        <v>65</v>
      </c>
      <c r="E75" s="1157"/>
      <c r="F75" s="1157"/>
      <c r="G75" s="369">
        <f t="array" ref="G75">SUM(G50:G74)+G38:G50:G74+G42:G50:G74+G46</f>
        <v>0</v>
      </c>
      <c r="H75" s="124" t="s">
        <v>66</v>
      </c>
      <c r="I75" s="369">
        <f t="array" ref="I75">SUM(I50:I74)+I38:I50:I74+I42:I50:I74+I46</f>
        <v>0</v>
      </c>
      <c r="J75" s="124" t="s">
        <v>67</v>
      </c>
      <c r="K75" s="369">
        <f t="array" ref="K75">SUM(K50:K74)+K38:K50:K74+K42:K50:K74+K46</f>
        <v>0</v>
      </c>
      <c r="L75" s="124" t="s">
        <v>68</v>
      </c>
      <c r="M75" s="369">
        <f t="array" ref="M75">SUM(M50:M74)+M38:M50:M74+M42:M50:M74+M46</f>
        <v>0</v>
      </c>
      <c r="N75" s="124" t="s">
        <v>69</v>
      </c>
      <c r="O75" s="369">
        <f t="array" ref="O75">SUM(O50:O74)+O38:O50:O74+O42:O50:O74+O46</f>
        <v>0</v>
      </c>
    </row>
  </sheetData>
  <mergeCells count="60">
    <mergeCell ref="A49:O49"/>
    <mergeCell ref="A50:A74"/>
    <mergeCell ref="D75:F75"/>
    <mergeCell ref="O42:O44"/>
    <mergeCell ref="A46:A48"/>
    <mergeCell ref="B46:B48"/>
    <mergeCell ref="G46:G48"/>
    <mergeCell ref="I46:I48"/>
    <mergeCell ref="K46:K48"/>
    <mergeCell ref="M46:M48"/>
    <mergeCell ref="O46:O48"/>
    <mergeCell ref="A42:A44"/>
    <mergeCell ref="B42:B44"/>
    <mergeCell ref="G42:G44"/>
    <mergeCell ref="I42:I44"/>
    <mergeCell ref="K42:K44"/>
    <mergeCell ref="M42:M44"/>
    <mergeCell ref="F33:J33"/>
    <mergeCell ref="F34:J34"/>
    <mergeCell ref="F36:G36"/>
    <mergeCell ref="H36:O36"/>
    <mergeCell ref="M38:M40"/>
    <mergeCell ref="O38:O40"/>
    <mergeCell ref="A38:A40"/>
    <mergeCell ref="B38:B40"/>
    <mergeCell ref="G38:G40"/>
    <mergeCell ref="I38:I40"/>
    <mergeCell ref="K38:K40"/>
    <mergeCell ref="A31:C31"/>
    <mergeCell ref="E31:H31"/>
    <mergeCell ref="I31:K31"/>
    <mergeCell ref="L31:M31"/>
    <mergeCell ref="N31:O31"/>
    <mergeCell ref="A30:C30"/>
    <mergeCell ref="E30:H30"/>
    <mergeCell ref="I30:K30"/>
    <mergeCell ref="L30:M30"/>
    <mergeCell ref="N30:O30"/>
    <mergeCell ref="A29:C29"/>
    <mergeCell ref="E29:H29"/>
    <mergeCell ref="I29:K29"/>
    <mergeCell ref="L29:M29"/>
    <mergeCell ref="N29:O29"/>
    <mergeCell ref="A28:C28"/>
    <mergeCell ref="E28:H28"/>
    <mergeCell ref="I28:K28"/>
    <mergeCell ref="L28:M28"/>
    <mergeCell ref="N28:O28"/>
    <mergeCell ref="A27:C27"/>
    <mergeCell ref="E27:H27"/>
    <mergeCell ref="I27:K27"/>
    <mergeCell ref="L27:M27"/>
    <mergeCell ref="N27:O27"/>
    <mergeCell ref="A4:O4"/>
    <mergeCell ref="A5:O5"/>
    <mergeCell ref="F10:I10"/>
    <mergeCell ref="A25:O25"/>
    <mergeCell ref="A26:D26"/>
    <mergeCell ref="E26:K26"/>
    <mergeCell ref="L26:O26"/>
  </mergeCells>
  <pageMargins left="0.2" right="0.19" top="0.39" bottom="0.31" header="0.25" footer="0.22"/>
  <pageSetup scale="42" firstPageNumber="6" orientation="landscape" useFirstPageNumber="1" r:id="rId1"/>
  <headerFooter alignWithMargins="0">
    <oddHeader>&amp;L&amp;"Arial,Bold"VITA CONTRACT #: VA-191121-VBS</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9D17E-A244-46A3-99F7-8F68BF588C74}">
  <sheetPr>
    <tabColor indexed="12"/>
  </sheetPr>
  <dimension ref="A1:L39"/>
  <sheetViews>
    <sheetView zoomScale="84" zoomScaleNormal="84" workbookViewId="0">
      <selection activeCell="K25" sqref="K25"/>
    </sheetView>
  </sheetViews>
  <sheetFormatPr defaultColWidth="8.85546875" defaultRowHeight="12.75"/>
  <cols>
    <col min="1" max="1" width="46" style="256" bestFit="1" customWidth="1"/>
    <col min="2" max="2" width="27.7109375" style="256" bestFit="1" customWidth="1"/>
    <col min="3" max="3" width="14.7109375" style="256" bestFit="1" customWidth="1"/>
    <col min="4" max="4" width="19.140625" style="256" bestFit="1" customWidth="1"/>
    <col min="5" max="16384" width="8.85546875" style="256"/>
  </cols>
  <sheetData>
    <row r="1" spans="1:4" ht="118.9" customHeight="1">
      <c r="A1" s="1358" t="s">
        <v>3840</v>
      </c>
      <c r="B1" s="1356"/>
      <c r="C1" s="1356"/>
      <c r="D1" s="1356"/>
    </row>
    <row r="2" spans="1:4" ht="9" customHeight="1">
      <c r="A2" s="915" t="s">
        <v>2668</v>
      </c>
      <c r="B2" s="915" t="s">
        <v>48</v>
      </c>
      <c r="C2" s="915" t="s">
        <v>2669</v>
      </c>
      <c r="D2" s="915" t="s">
        <v>2670</v>
      </c>
    </row>
    <row r="3" spans="1:4" ht="10.5" customHeight="1">
      <c r="A3" s="630" t="s">
        <v>2072</v>
      </c>
      <c r="B3" s="630"/>
      <c r="C3" s="630"/>
      <c r="D3" s="630"/>
    </row>
    <row r="4" spans="1:4">
      <c r="A4" s="916" t="s">
        <v>3826</v>
      </c>
      <c r="B4" s="916" t="s">
        <v>3841</v>
      </c>
      <c r="C4" s="916" t="s">
        <v>3842</v>
      </c>
      <c r="D4" s="715">
        <v>132</v>
      </c>
    </row>
    <row r="5" spans="1:4" s="266" customFormat="1" ht="44.25" customHeight="1">
      <c r="A5" s="916" t="s">
        <v>3826</v>
      </c>
      <c r="B5" s="916" t="s">
        <v>3843</v>
      </c>
      <c r="C5" s="916" t="s">
        <v>3844</v>
      </c>
      <c r="D5" s="715">
        <v>120</v>
      </c>
    </row>
    <row r="6" spans="1:4" ht="9" customHeight="1">
      <c r="A6" s="916" t="s">
        <v>3826</v>
      </c>
      <c r="B6" s="916" t="s">
        <v>3845</v>
      </c>
      <c r="C6" s="916" t="s">
        <v>3846</v>
      </c>
      <c r="D6" s="715">
        <v>100</v>
      </c>
    </row>
    <row r="7" spans="1:4">
      <c r="A7" s="916" t="s">
        <v>3847</v>
      </c>
      <c r="B7" s="916" t="s">
        <v>3848</v>
      </c>
      <c r="C7" s="916" t="s">
        <v>3849</v>
      </c>
      <c r="D7" s="715">
        <v>150</v>
      </c>
    </row>
    <row r="8" spans="1:4">
      <c r="A8" s="916" t="s">
        <v>3850</v>
      </c>
      <c r="B8" s="916" t="s">
        <v>3848</v>
      </c>
      <c r="C8" s="916" t="s">
        <v>3851</v>
      </c>
      <c r="D8" s="715">
        <v>245</v>
      </c>
    </row>
    <row r="9" spans="1:4" s="265" customFormat="1"/>
    <row r="10" spans="1:4" s="265" customFormat="1"/>
    <row r="11" spans="1:4" s="265" customFormat="1"/>
    <row r="12" spans="1:4" s="265" customFormat="1"/>
    <row r="13" spans="1:4" s="265" customFormat="1"/>
    <row r="14" spans="1:4" s="265" customFormat="1"/>
    <row r="15" spans="1:4" s="265" customFormat="1"/>
    <row r="16" spans="1:4" s="265" customFormat="1"/>
    <row r="17" s="265" customFormat="1"/>
    <row r="18" s="265" customFormat="1" ht="15.75" customHeight="1"/>
    <row r="19" s="265" customFormat="1" ht="12.75" customHeight="1"/>
    <row r="20" s="265" customFormat="1" ht="12.75" customHeight="1"/>
    <row r="21" s="265" customFormat="1" ht="12.75" customHeight="1"/>
    <row r="22" s="265" customFormat="1" ht="18" customHeight="1"/>
    <row r="23" s="265" customFormat="1" ht="15.75" customHeight="1"/>
    <row r="24" s="291" customFormat="1" ht="54" customHeight="1"/>
    <row r="25" s="557" customFormat="1" ht="27.75" customHeight="1"/>
    <row r="26" s="557" customFormat="1" ht="27.75" customHeight="1"/>
    <row r="27" s="557" customFormat="1" ht="29.25" customHeight="1"/>
    <row r="28" s="557" customFormat="1" ht="29.25" customHeight="1"/>
    <row r="29" s="557" customFormat="1" ht="29.25" customHeight="1"/>
    <row r="30" s="519" customFormat="1"/>
    <row r="39" spans="12:12">
      <c r="L39" s="256">
        <f>F39*0.0256</f>
        <v>0</v>
      </c>
    </row>
  </sheetData>
  <mergeCells count="1">
    <mergeCell ref="A1:D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FF0000"/>
  </sheetPr>
  <dimension ref="A1:P72"/>
  <sheetViews>
    <sheetView zoomScale="65" zoomScaleNormal="65" workbookViewId="0">
      <selection activeCell="H37" sqref="H37"/>
    </sheetView>
  </sheetViews>
  <sheetFormatPr defaultColWidth="8.85546875" defaultRowHeight="12.75"/>
  <cols>
    <col min="1" max="1" width="15" style="256" customWidth="1"/>
    <col min="2" max="2" width="10" style="256" customWidth="1"/>
    <col min="3" max="3" width="16.5703125" style="256" customWidth="1"/>
    <col min="4" max="4" width="44.42578125" style="256" customWidth="1"/>
    <col min="5" max="5" width="17.42578125" style="256" customWidth="1"/>
    <col min="6" max="6" width="15.5703125" style="333" customWidth="1"/>
    <col min="7" max="7" width="23.42578125" style="333" customWidth="1"/>
    <col min="8" max="8" width="28.28515625" style="256" bestFit="1" customWidth="1"/>
    <col min="9" max="9" width="19" style="256" customWidth="1"/>
    <col min="10" max="10" width="25" style="256" bestFit="1" customWidth="1"/>
    <col min="11" max="11" width="19" style="256" customWidth="1"/>
    <col min="12" max="12" width="25" style="256" bestFit="1" customWidth="1"/>
    <col min="13" max="13" width="18.42578125" style="256" customWidth="1"/>
    <col min="14" max="14" width="25" style="256" bestFit="1" customWidth="1"/>
    <col min="15" max="15" width="19.28515625" style="256" customWidth="1"/>
    <col min="16" max="16384" width="8.85546875" style="256"/>
  </cols>
  <sheetData>
    <row r="1" spans="1:16" ht="13.5" thickBot="1">
      <c r="B1" s="257"/>
      <c r="C1" s="257"/>
      <c r="D1" s="258"/>
      <c r="E1" s="258"/>
      <c r="F1" s="259"/>
      <c r="G1" s="259"/>
      <c r="H1" s="259"/>
      <c r="I1" s="259"/>
      <c r="J1" s="259"/>
      <c r="K1" s="258"/>
      <c r="L1" s="259"/>
    </row>
    <row r="2" spans="1:16" ht="9" customHeight="1">
      <c r="A2" s="260"/>
      <c r="B2" s="261"/>
      <c r="C2" s="261"/>
      <c r="D2" s="262"/>
      <c r="E2" s="262"/>
      <c r="F2" s="263"/>
      <c r="G2" s="263"/>
      <c r="H2" s="263"/>
      <c r="I2" s="264"/>
      <c r="J2" s="264"/>
      <c r="K2" s="264"/>
      <c r="L2" s="264"/>
      <c r="M2" s="260"/>
      <c r="N2" s="260"/>
      <c r="O2" s="260"/>
    </row>
    <row r="3" spans="1:16" ht="10.5" customHeight="1">
      <c r="B3" s="257"/>
      <c r="C3" s="257"/>
      <c r="D3" s="258"/>
      <c r="E3" s="258"/>
      <c r="F3" s="259"/>
      <c r="G3" s="259"/>
      <c r="H3" s="259"/>
      <c r="I3" s="265"/>
      <c r="J3" s="265"/>
      <c r="K3" s="265"/>
      <c r="L3" s="265"/>
    </row>
    <row r="4" spans="1:16" ht="36" customHeight="1">
      <c r="A4" s="1112" t="s">
        <v>937</v>
      </c>
      <c r="B4" s="1020"/>
      <c r="C4" s="1020"/>
      <c r="D4" s="1020"/>
      <c r="E4" s="1020"/>
      <c r="F4" s="1020"/>
      <c r="G4" s="1020"/>
      <c r="H4" s="1020"/>
      <c r="I4" s="1020"/>
      <c r="J4" s="1020"/>
      <c r="K4" s="1020"/>
      <c r="L4" s="1020"/>
      <c r="M4" s="1020"/>
      <c r="N4" s="1020"/>
      <c r="O4" s="1020"/>
    </row>
    <row r="5" spans="1:16" s="266" customFormat="1" ht="41.25" customHeight="1">
      <c r="A5" s="1188" t="s">
        <v>938</v>
      </c>
      <c r="B5" s="1045"/>
      <c r="C5" s="1045"/>
      <c r="D5" s="1045"/>
      <c r="E5" s="1045"/>
      <c r="F5" s="1045"/>
      <c r="G5" s="1045"/>
      <c r="H5" s="1045"/>
      <c r="I5" s="1045"/>
      <c r="J5" s="1045"/>
      <c r="K5" s="1045"/>
      <c r="L5" s="1045"/>
      <c r="M5" s="1045"/>
      <c r="N5" s="1045"/>
      <c r="O5" s="1045"/>
    </row>
    <row r="6" spans="1:16" ht="9" customHeight="1" thickBot="1">
      <c r="A6" s="267"/>
      <c r="B6" s="267"/>
      <c r="C6" s="267"/>
      <c r="D6" s="267"/>
      <c r="E6" s="267"/>
      <c r="F6" s="267"/>
      <c r="G6" s="267"/>
      <c r="H6" s="267"/>
      <c r="I6" s="267"/>
      <c r="J6" s="267"/>
      <c r="K6" s="267"/>
      <c r="L6" s="506"/>
      <c r="M6" s="267"/>
      <c r="N6" s="267"/>
      <c r="O6" s="267"/>
    </row>
    <row r="7" spans="1:16" s="265" customFormat="1" ht="14.25">
      <c r="B7" s="268"/>
      <c r="C7" s="268"/>
      <c r="D7" s="269"/>
      <c r="E7" s="269"/>
      <c r="F7" s="269"/>
      <c r="G7" s="269"/>
      <c r="H7" s="269"/>
      <c r="I7" s="269"/>
      <c r="J7" s="269"/>
      <c r="K7" s="269"/>
      <c r="L7" s="269"/>
      <c r="M7" s="269"/>
      <c r="N7" s="269"/>
      <c r="O7" s="269"/>
      <c r="P7" s="269"/>
    </row>
    <row r="8" spans="1:16" s="265" customFormat="1" ht="14.25">
      <c r="F8" s="446"/>
      <c r="G8" s="446"/>
      <c r="H8" s="1046" t="s">
        <v>0</v>
      </c>
      <c r="I8" s="1046"/>
      <c r="J8" s="1046"/>
      <c r="K8" s="507"/>
    </row>
    <row r="9" spans="1:16" s="265" customFormat="1" ht="14.25">
      <c r="H9" s="275" t="s">
        <v>48</v>
      </c>
      <c r="I9" s="265" t="s">
        <v>939</v>
      </c>
      <c r="J9" s="282"/>
      <c r="L9" s="282"/>
    </row>
    <row r="10" spans="1:16" s="265" customFormat="1">
      <c r="H10" s="270" t="s">
        <v>940</v>
      </c>
      <c r="I10" s="282" t="s">
        <v>941</v>
      </c>
      <c r="J10" s="282"/>
      <c r="L10" s="282"/>
    </row>
    <row r="11" spans="1:16" s="265" customFormat="1">
      <c r="F11" s="446"/>
      <c r="G11" s="446"/>
      <c r="H11" s="270" t="s">
        <v>8</v>
      </c>
      <c r="I11" s="265" t="s">
        <v>942</v>
      </c>
      <c r="J11" s="282"/>
      <c r="L11" s="282"/>
    </row>
    <row r="12" spans="1:16" s="265" customFormat="1">
      <c r="B12" s="508"/>
      <c r="C12" s="508"/>
      <c r="F12" s="446"/>
      <c r="G12" s="446"/>
      <c r="H12" s="270" t="s">
        <v>10</v>
      </c>
      <c r="I12" s="265" t="s">
        <v>11</v>
      </c>
      <c r="J12" s="282"/>
      <c r="L12" s="282"/>
    </row>
    <row r="13" spans="1:16" s="265" customFormat="1">
      <c r="F13" s="302"/>
      <c r="G13" s="302"/>
      <c r="H13" s="270" t="s">
        <v>183</v>
      </c>
      <c r="I13" s="265" t="s">
        <v>943</v>
      </c>
      <c r="J13" s="282"/>
      <c r="L13" s="282"/>
    </row>
    <row r="14" spans="1:16" s="265" customFormat="1">
      <c r="F14" s="446"/>
      <c r="G14" s="446"/>
      <c r="H14" s="270" t="s">
        <v>185</v>
      </c>
      <c r="I14" s="265" t="s">
        <v>944</v>
      </c>
      <c r="J14" s="282"/>
      <c r="L14" s="282"/>
    </row>
    <row r="15" spans="1:16" s="265" customFormat="1">
      <c r="H15" s="270" t="s">
        <v>18</v>
      </c>
      <c r="I15" s="265" t="s">
        <v>945</v>
      </c>
    </row>
    <row r="16" spans="1:16" s="265" customFormat="1">
      <c r="H16" s="270" t="s">
        <v>20</v>
      </c>
      <c r="I16" s="282" t="s">
        <v>946</v>
      </c>
    </row>
    <row r="17" spans="1:15" s="265" customFormat="1" ht="14.25">
      <c r="D17" s="1047"/>
      <c r="E17" s="277"/>
      <c r="H17" s="270" t="s">
        <v>22</v>
      </c>
      <c r="I17" s="265" t="s">
        <v>947</v>
      </c>
    </row>
    <row r="18" spans="1:15" s="265" customFormat="1" ht="14.25">
      <c r="D18" s="1047"/>
      <c r="E18" s="277"/>
      <c r="H18" s="270" t="s">
        <v>24</v>
      </c>
      <c r="I18" s="265" t="s">
        <v>948</v>
      </c>
    </row>
    <row r="19" spans="1:15" s="265" customFormat="1">
      <c r="F19" s="446"/>
      <c r="G19" s="446"/>
      <c r="H19" s="270" t="s">
        <v>26</v>
      </c>
      <c r="I19" s="265" t="s">
        <v>949</v>
      </c>
    </row>
    <row r="20" spans="1:15" s="265" customFormat="1">
      <c r="F20" s="446"/>
      <c r="G20" s="446"/>
      <c r="H20" s="270" t="s">
        <v>28</v>
      </c>
      <c r="I20" s="265" t="s">
        <v>950</v>
      </c>
      <c r="J20" s="282"/>
      <c r="L20" s="282"/>
    </row>
    <row r="21" spans="1:15" s="265" customFormat="1" ht="12" customHeight="1" thickBot="1">
      <c r="F21" s="446"/>
      <c r="G21" s="446"/>
      <c r="H21" s="270"/>
      <c r="I21" s="282"/>
      <c r="J21" s="282"/>
      <c r="L21" s="282"/>
    </row>
    <row r="22" spans="1:15" s="265" customFormat="1" ht="18">
      <c r="A22" s="1231" t="s">
        <v>30</v>
      </c>
      <c r="B22" s="1375"/>
      <c r="C22" s="1375"/>
      <c r="D22" s="1375"/>
      <c r="E22" s="1375"/>
      <c r="F22" s="1375"/>
      <c r="G22" s="1375"/>
      <c r="H22" s="1375"/>
      <c r="I22" s="1375"/>
      <c r="J22" s="1375"/>
      <c r="K22" s="1375"/>
      <c r="L22" s="1375"/>
      <c r="M22" s="1375"/>
      <c r="N22" s="1375"/>
      <c r="O22" s="1109"/>
    </row>
    <row r="23" spans="1:15" s="265" customFormat="1" ht="18" customHeight="1">
      <c r="A23" s="1258" t="s">
        <v>951</v>
      </c>
      <c r="B23" s="1376"/>
      <c r="C23" s="1376"/>
      <c r="D23" s="1376"/>
      <c r="E23" s="1376"/>
      <c r="F23" s="1376"/>
      <c r="G23" s="1376"/>
      <c r="H23" s="1376"/>
      <c r="I23" s="1376"/>
      <c r="J23" s="1376"/>
      <c r="K23" s="1376"/>
      <c r="L23" s="1376"/>
      <c r="M23" s="1376"/>
      <c r="N23" s="1376"/>
      <c r="O23" s="1030"/>
    </row>
    <row r="24" spans="1:15" s="265" customFormat="1" ht="18" customHeight="1">
      <c r="A24" s="1219" t="s">
        <v>845</v>
      </c>
      <c r="B24" s="1020"/>
      <c r="C24" s="1020"/>
      <c r="D24" s="1020"/>
      <c r="E24" s="1020"/>
      <c r="F24" s="1020"/>
      <c r="G24" s="1020"/>
      <c r="H24" s="1020"/>
      <c r="I24" s="1255">
        <v>4385</v>
      </c>
      <c r="J24" s="1020"/>
      <c r="K24" s="1020"/>
      <c r="L24" s="1020"/>
      <c r="M24" s="1020"/>
      <c r="N24" s="1020"/>
      <c r="O24" s="1030"/>
    </row>
    <row r="25" spans="1:15" s="265" customFormat="1" ht="18" customHeight="1">
      <c r="A25" s="1219" t="s">
        <v>952</v>
      </c>
      <c r="B25" s="1376"/>
      <c r="C25" s="1376"/>
      <c r="D25" s="1376"/>
      <c r="E25" s="1376"/>
      <c r="F25" s="1376"/>
      <c r="G25" s="1376"/>
      <c r="H25" s="1376"/>
      <c r="I25" s="1377" t="s">
        <v>953</v>
      </c>
      <c r="J25" s="1377"/>
      <c r="K25" s="1377"/>
      <c r="L25" s="1377"/>
      <c r="M25" s="1377"/>
      <c r="N25" s="1377"/>
      <c r="O25" s="1096"/>
    </row>
    <row r="26" spans="1:15" s="265" customFormat="1" ht="18" customHeight="1">
      <c r="A26" s="1219" t="s">
        <v>954</v>
      </c>
      <c r="B26" s="1376"/>
      <c r="C26" s="1376"/>
      <c r="D26" s="1376"/>
      <c r="E26" s="1376"/>
      <c r="F26" s="1376"/>
      <c r="G26" s="1376"/>
      <c r="H26" s="1376"/>
      <c r="I26" s="1377" t="s">
        <v>955</v>
      </c>
      <c r="J26" s="1377"/>
      <c r="K26" s="1377"/>
      <c r="L26" s="1377"/>
      <c r="M26" s="1377"/>
      <c r="N26" s="1377"/>
      <c r="O26" s="1096"/>
    </row>
    <row r="27" spans="1:15" s="265" customFormat="1" ht="18" customHeight="1">
      <c r="A27" s="1378" t="s">
        <v>956</v>
      </c>
      <c r="B27" s="1020"/>
      <c r="C27" s="1020"/>
      <c r="D27" s="1020"/>
      <c r="E27" s="1020"/>
      <c r="F27" s="1020"/>
      <c r="G27" s="1020"/>
      <c r="H27" s="1020"/>
      <c r="I27" s="1377" t="s">
        <v>957</v>
      </c>
      <c r="J27" s="1020"/>
      <c r="K27" s="1020"/>
      <c r="L27" s="1020"/>
      <c r="M27" s="1020"/>
      <c r="N27" s="1020"/>
      <c r="O27" s="1030"/>
    </row>
    <row r="28" spans="1:15" s="265" customFormat="1" ht="18" customHeight="1">
      <c r="A28" s="1378" t="s">
        <v>958</v>
      </c>
      <c r="B28" s="1020"/>
      <c r="C28" s="1020"/>
      <c r="D28" s="1020"/>
      <c r="E28" s="1020"/>
      <c r="F28" s="1020"/>
      <c r="G28" s="1020"/>
      <c r="H28" s="1020"/>
      <c r="I28" s="1377" t="s">
        <v>959</v>
      </c>
      <c r="J28" s="1020"/>
      <c r="K28" s="1020"/>
      <c r="L28" s="1020"/>
      <c r="M28" s="1020"/>
      <c r="N28" s="1020"/>
      <c r="O28" s="1030"/>
    </row>
    <row r="29" spans="1:15" s="265" customFormat="1" ht="18" customHeight="1" thickBot="1">
      <c r="A29" s="1221" t="s">
        <v>548</v>
      </c>
      <c r="B29" s="1379"/>
      <c r="C29" s="1379"/>
      <c r="D29" s="1379"/>
      <c r="E29" s="1379"/>
      <c r="F29" s="1379"/>
      <c r="G29" s="1379"/>
      <c r="H29" s="1379"/>
      <c r="I29" s="1379"/>
      <c r="J29" s="1379"/>
      <c r="K29" s="1379"/>
      <c r="L29" s="1379"/>
      <c r="M29" s="1379"/>
      <c r="N29" s="1379"/>
      <c r="O29" s="1034"/>
    </row>
    <row r="30" spans="1:15" s="265" customFormat="1" ht="15" thickBot="1">
      <c r="D30" s="277"/>
      <c r="E30" s="277"/>
      <c r="F30" s="283"/>
      <c r="G30" s="283"/>
      <c r="I30" s="288"/>
      <c r="J30" s="288"/>
      <c r="K30" s="288"/>
      <c r="L30" s="288"/>
    </row>
    <row r="31" spans="1:15" s="265" customFormat="1" ht="13.5" thickBot="1">
      <c r="F31" s="1021" t="s">
        <v>43</v>
      </c>
      <c r="G31" s="1022"/>
      <c r="H31" s="1023" t="s">
        <v>44</v>
      </c>
      <c r="I31" s="1003"/>
      <c r="J31" s="1003"/>
      <c r="K31" s="1003"/>
      <c r="L31" s="1003"/>
      <c r="M31" s="1003"/>
      <c r="N31" s="1003"/>
      <c r="O31" s="1025"/>
    </row>
    <row r="32" spans="1:15" s="265" customFormat="1" ht="57.75" customHeight="1" thickBot="1">
      <c r="A32" s="188" t="s">
        <v>45</v>
      </c>
      <c r="B32" s="188" t="s">
        <v>46</v>
      </c>
      <c r="C32" s="189" t="s">
        <v>47</v>
      </c>
      <c r="D32" s="189" t="s">
        <v>48</v>
      </c>
      <c r="E32" s="189" t="s">
        <v>49</v>
      </c>
      <c r="F32" s="189" t="s">
        <v>50</v>
      </c>
      <c r="G32" s="188" t="s">
        <v>51</v>
      </c>
      <c r="H32" s="189" t="s">
        <v>53</v>
      </c>
      <c r="I32" s="188" t="s">
        <v>51</v>
      </c>
      <c r="J32" s="189" t="s">
        <v>54</v>
      </c>
      <c r="K32" s="188" t="s">
        <v>51</v>
      </c>
      <c r="L32" s="189" t="s">
        <v>55</v>
      </c>
      <c r="M32" s="188" t="s">
        <v>51</v>
      </c>
      <c r="N32" s="189" t="s">
        <v>847</v>
      </c>
      <c r="O32" s="188" t="s">
        <v>51</v>
      </c>
    </row>
    <row r="33" spans="1:15" s="265" customFormat="1" ht="13.5" thickBot="1">
      <c r="A33" s="1270" t="s">
        <v>960</v>
      </c>
      <c r="B33" s="1271"/>
      <c r="C33" s="509" t="s">
        <v>961</v>
      </c>
      <c r="D33" s="206" t="s">
        <v>937</v>
      </c>
      <c r="E33" s="194">
        <v>57810</v>
      </c>
      <c r="F33" s="510">
        <f>SUM(E33:E34)*(1-28.95%)</f>
        <v>41258.0245</v>
      </c>
      <c r="G33" s="30">
        <f>F33*B33</f>
        <v>0</v>
      </c>
      <c r="H33" s="510">
        <f>F33*0.0325+I24/12</f>
        <v>1706.3024629166669</v>
      </c>
      <c r="I33" s="30">
        <f>H33*B33</f>
        <v>0</v>
      </c>
      <c r="J33" s="510">
        <f>F33*0.0254+I24/12</f>
        <v>1413.3704889666667</v>
      </c>
      <c r="K33" s="30">
        <f>J33*B33</f>
        <v>0</v>
      </c>
      <c r="L33" s="30">
        <f>F33*0.0211+I24/12</f>
        <v>1235.9609836166667</v>
      </c>
      <c r="M33" s="30">
        <f>L33*B33</f>
        <v>0</v>
      </c>
      <c r="N33" s="30">
        <f>F33*0.0185+I24/12</f>
        <v>1128.6901199166666</v>
      </c>
      <c r="O33" s="30">
        <f>N33*B33</f>
        <v>0</v>
      </c>
    </row>
    <row r="34" spans="1:15" s="265" customFormat="1" ht="12.6" customHeight="1" thickBot="1">
      <c r="A34" s="1270"/>
      <c r="B34" s="1271"/>
      <c r="C34" s="511" t="s">
        <v>424</v>
      </c>
      <c r="D34" s="199" t="s">
        <v>57</v>
      </c>
      <c r="E34" s="512">
        <v>259</v>
      </c>
      <c r="F34" s="513" t="s">
        <v>35</v>
      </c>
      <c r="G34" s="514"/>
      <c r="H34" s="513" t="s">
        <v>35</v>
      </c>
      <c r="I34" s="514"/>
      <c r="J34" s="513" t="s">
        <v>35</v>
      </c>
      <c r="K34" s="514"/>
      <c r="L34" s="513" t="s">
        <v>35</v>
      </c>
      <c r="M34" s="514"/>
      <c r="N34" s="513" t="s">
        <v>35</v>
      </c>
      <c r="O34" s="515"/>
    </row>
    <row r="35" spans="1:15" s="198" customFormat="1" ht="15.75" customHeight="1" thickBot="1">
      <c r="A35" s="1002" t="s">
        <v>831</v>
      </c>
      <c r="B35" s="1003"/>
      <c r="C35" s="1003"/>
      <c r="D35" s="1003"/>
      <c r="E35" s="1003"/>
      <c r="F35" s="1003"/>
      <c r="G35" s="1003"/>
      <c r="H35" s="1003"/>
      <c r="I35" s="1003"/>
      <c r="J35" s="1003"/>
      <c r="K35" s="1003"/>
      <c r="L35" s="1003"/>
      <c r="M35" s="1003"/>
      <c r="N35" s="1003"/>
      <c r="O35" s="1025"/>
    </row>
    <row r="36" spans="1:15" s="198" customFormat="1" ht="13.5" thickBot="1">
      <c r="A36" s="1254"/>
      <c r="B36" s="416"/>
      <c r="C36" s="516" t="s">
        <v>962</v>
      </c>
      <c r="D36" s="517" t="s">
        <v>963</v>
      </c>
      <c r="E36" s="518">
        <v>19495</v>
      </c>
      <c r="F36" s="38">
        <v>1396.5</v>
      </c>
      <c r="G36" s="41">
        <f t="shared" ref="G36:G50" si="0">F36*B36</f>
        <v>0</v>
      </c>
      <c r="H36" s="39">
        <f t="shared" ref="H36:H50" si="1">F36*0.0325</f>
        <v>45.386250000000004</v>
      </c>
      <c r="I36" s="40">
        <f t="shared" ref="I36:I50" si="2">H36*B36</f>
        <v>0</v>
      </c>
      <c r="J36" s="39">
        <f t="shared" ref="J36:J50" si="3">F36*0.0254</f>
        <v>35.4711</v>
      </c>
      <c r="K36" s="40">
        <f t="shared" ref="K36:K50" si="4">J36*B36</f>
        <v>0</v>
      </c>
      <c r="L36" s="39">
        <f t="shared" ref="L36:L50" si="5">F36*0.0211</f>
        <v>29.466150000000003</v>
      </c>
      <c r="M36" s="39">
        <f t="shared" ref="M36:M50" si="6">L36*B36</f>
        <v>0</v>
      </c>
      <c r="N36" s="39">
        <f t="shared" ref="N36:N50" si="7">F36*0.0185</f>
        <v>25.835249999999998</v>
      </c>
      <c r="O36" s="39">
        <f t="shared" ref="O36:O50" si="8">N36*B36</f>
        <v>0</v>
      </c>
    </row>
    <row r="37" spans="1:15" s="198" customFormat="1" ht="13.5" thickBot="1">
      <c r="A37" s="1254"/>
      <c r="B37" s="416"/>
      <c r="C37" s="516" t="s">
        <v>869</v>
      </c>
      <c r="D37" s="517" t="s">
        <v>964</v>
      </c>
      <c r="E37" s="518">
        <v>1500</v>
      </c>
      <c r="F37" s="38">
        <v>157.5</v>
      </c>
      <c r="G37" s="41">
        <f t="shared" si="0"/>
        <v>0</v>
      </c>
      <c r="H37" s="39">
        <f t="shared" si="1"/>
        <v>5.1187500000000004</v>
      </c>
      <c r="I37" s="40">
        <f t="shared" si="2"/>
        <v>0</v>
      </c>
      <c r="J37" s="39">
        <f t="shared" si="3"/>
        <v>4.0004999999999997</v>
      </c>
      <c r="K37" s="40">
        <f t="shared" si="4"/>
        <v>0</v>
      </c>
      <c r="L37" s="39">
        <f t="shared" si="5"/>
        <v>3.3232500000000003</v>
      </c>
      <c r="M37" s="39">
        <f t="shared" si="6"/>
        <v>0</v>
      </c>
      <c r="N37" s="39">
        <f t="shared" si="7"/>
        <v>2.9137499999999998</v>
      </c>
      <c r="O37" s="39">
        <f t="shared" si="8"/>
        <v>0</v>
      </c>
    </row>
    <row r="38" spans="1:15" s="198" customFormat="1" ht="13.5" thickBot="1">
      <c r="A38" s="1254"/>
      <c r="B38" s="416"/>
      <c r="C38" s="516" t="s">
        <v>924</v>
      </c>
      <c r="D38" s="517" t="s">
        <v>965</v>
      </c>
      <c r="E38" s="518">
        <v>4000</v>
      </c>
      <c r="F38" s="38">
        <v>36.4</v>
      </c>
      <c r="G38" s="41">
        <f t="shared" si="0"/>
        <v>0</v>
      </c>
      <c r="H38" s="39">
        <f t="shared" si="1"/>
        <v>1.1830000000000001</v>
      </c>
      <c r="I38" s="40">
        <f t="shared" si="2"/>
        <v>0</v>
      </c>
      <c r="J38" s="39">
        <f t="shared" si="3"/>
        <v>0.92455999999999994</v>
      </c>
      <c r="K38" s="40">
        <f t="shared" si="4"/>
        <v>0</v>
      </c>
      <c r="L38" s="39">
        <f t="shared" si="5"/>
        <v>0.76803999999999994</v>
      </c>
      <c r="M38" s="39">
        <f t="shared" si="6"/>
        <v>0</v>
      </c>
      <c r="N38" s="39">
        <f t="shared" si="7"/>
        <v>0.67339999999999989</v>
      </c>
      <c r="O38" s="39">
        <f t="shared" si="8"/>
        <v>0</v>
      </c>
    </row>
    <row r="39" spans="1:15" s="198" customFormat="1" ht="13.5" thickBot="1">
      <c r="A39" s="1254"/>
      <c r="B39" s="416"/>
      <c r="C39" s="516" t="s">
        <v>966</v>
      </c>
      <c r="D39" s="517" t="s">
        <v>967</v>
      </c>
      <c r="E39" s="518">
        <v>3300</v>
      </c>
      <c r="F39" s="38">
        <v>1312.5</v>
      </c>
      <c r="G39" s="41">
        <f t="shared" si="0"/>
        <v>0</v>
      </c>
      <c r="H39" s="39">
        <f t="shared" si="1"/>
        <v>42.65625</v>
      </c>
      <c r="I39" s="40">
        <f t="shared" si="2"/>
        <v>0</v>
      </c>
      <c r="J39" s="39">
        <f t="shared" si="3"/>
        <v>33.337499999999999</v>
      </c>
      <c r="K39" s="40">
        <f t="shared" si="4"/>
        <v>0</v>
      </c>
      <c r="L39" s="39">
        <f t="shared" si="5"/>
        <v>27.693750000000001</v>
      </c>
      <c r="M39" s="39">
        <f t="shared" si="6"/>
        <v>0</v>
      </c>
      <c r="N39" s="39">
        <f t="shared" si="7"/>
        <v>24.28125</v>
      </c>
      <c r="O39" s="39">
        <f t="shared" si="8"/>
        <v>0</v>
      </c>
    </row>
    <row r="40" spans="1:15" s="198" customFormat="1" ht="13.5" thickBot="1">
      <c r="A40" s="1254"/>
      <c r="B40" s="416"/>
      <c r="C40" s="516" t="s">
        <v>968</v>
      </c>
      <c r="D40" s="517" t="s">
        <v>969</v>
      </c>
      <c r="E40" s="518">
        <v>36000</v>
      </c>
      <c r="F40" s="38">
        <v>36.4</v>
      </c>
      <c r="G40" s="41">
        <f>F40*B40</f>
        <v>0</v>
      </c>
      <c r="H40" s="39">
        <f>F40*0.0325</f>
        <v>1.1830000000000001</v>
      </c>
      <c r="I40" s="40">
        <f>H40*B40</f>
        <v>0</v>
      </c>
      <c r="J40" s="39">
        <f>F40*0.0254</f>
        <v>0.92455999999999994</v>
      </c>
      <c r="K40" s="40">
        <f>J40*B40</f>
        <v>0</v>
      </c>
      <c r="L40" s="39">
        <f>F40*0.0211</f>
        <v>0.76803999999999994</v>
      </c>
      <c r="M40" s="39">
        <f>L40*B40</f>
        <v>0</v>
      </c>
      <c r="N40" s="39">
        <f>F40*0.0185</f>
        <v>0.67339999999999989</v>
      </c>
      <c r="O40" s="39">
        <f>N40*B40</f>
        <v>0</v>
      </c>
    </row>
    <row r="41" spans="1:15" s="198" customFormat="1" ht="13.5" thickBot="1">
      <c r="A41" s="1254"/>
      <c r="B41" s="416"/>
      <c r="C41" s="516" t="s">
        <v>871</v>
      </c>
      <c r="D41" s="517" t="s">
        <v>970</v>
      </c>
      <c r="E41" s="518">
        <v>1400</v>
      </c>
      <c r="F41" s="38">
        <v>1312.5</v>
      </c>
      <c r="G41" s="41">
        <f>F41*B41</f>
        <v>0</v>
      </c>
      <c r="H41" s="39">
        <f>F41*0.0325</f>
        <v>42.65625</v>
      </c>
      <c r="I41" s="40">
        <f>H41*B41</f>
        <v>0</v>
      </c>
      <c r="J41" s="39">
        <f>F41*0.0254</f>
        <v>33.337499999999999</v>
      </c>
      <c r="K41" s="40">
        <f>J41*B41</f>
        <v>0</v>
      </c>
      <c r="L41" s="39">
        <f>F41*0.0211</f>
        <v>27.693750000000001</v>
      </c>
      <c r="M41" s="39">
        <f>L41*B41</f>
        <v>0</v>
      </c>
      <c r="N41" s="39">
        <f>F41*0.0185</f>
        <v>24.28125</v>
      </c>
      <c r="O41" s="39">
        <f>N41*B41</f>
        <v>0</v>
      </c>
    </row>
    <row r="42" spans="1:15" s="519" customFormat="1" ht="13.5" thickBot="1">
      <c r="A42" s="1254"/>
      <c r="B42" s="416"/>
      <c r="C42" s="516" t="s">
        <v>971</v>
      </c>
      <c r="D42" s="517" t="s">
        <v>972</v>
      </c>
      <c r="E42" s="518">
        <v>2600</v>
      </c>
      <c r="F42" s="38">
        <v>36.4</v>
      </c>
      <c r="G42" s="41">
        <f t="shared" si="0"/>
        <v>0</v>
      </c>
      <c r="H42" s="39">
        <f t="shared" si="1"/>
        <v>1.1830000000000001</v>
      </c>
      <c r="I42" s="40">
        <f t="shared" si="2"/>
        <v>0</v>
      </c>
      <c r="J42" s="39">
        <f t="shared" si="3"/>
        <v>0.92455999999999994</v>
      </c>
      <c r="K42" s="40">
        <f t="shared" si="4"/>
        <v>0</v>
      </c>
      <c r="L42" s="39">
        <f t="shared" si="5"/>
        <v>0.76803999999999994</v>
      </c>
      <c r="M42" s="39">
        <f t="shared" si="6"/>
        <v>0</v>
      </c>
      <c r="N42" s="39">
        <f t="shared" si="7"/>
        <v>0.67339999999999989</v>
      </c>
      <c r="O42" s="39">
        <f t="shared" si="8"/>
        <v>0</v>
      </c>
    </row>
    <row r="43" spans="1:15" s="291" customFormat="1" ht="13.5" thickBot="1">
      <c r="A43" s="1254"/>
      <c r="B43" s="416"/>
      <c r="C43" s="516" t="s">
        <v>879</v>
      </c>
      <c r="D43" s="517" t="s">
        <v>973</v>
      </c>
      <c r="E43" s="518">
        <v>995</v>
      </c>
      <c r="F43" s="38">
        <v>52.5</v>
      </c>
      <c r="G43" s="41">
        <f t="shared" si="0"/>
        <v>0</v>
      </c>
      <c r="H43" s="39">
        <f t="shared" si="1"/>
        <v>1.70625</v>
      </c>
      <c r="I43" s="40">
        <f t="shared" si="2"/>
        <v>0</v>
      </c>
      <c r="J43" s="39">
        <f t="shared" si="3"/>
        <v>1.3334999999999999</v>
      </c>
      <c r="K43" s="40">
        <f t="shared" si="4"/>
        <v>0</v>
      </c>
      <c r="L43" s="39">
        <f t="shared" si="5"/>
        <v>1.10775</v>
      </c>
      <c r="M43" s="39">
        <f t="shared" si="6"/>
        <v>0</v>
      </c>
      <c r="N43" s="39">
        <f t="shared" si="7"/>
        <v>0.97124999999999995</v>
      </c>
      <c r="O43" s="39">
        <f t="shared" si="8"/>
        <v>0</v>
      </c>
    </row>
    <row r="44" spans="1:15" s="198" customFormat="1" ht="13.5" thickBot="1">
      <c r="A44" s="1254"/>
      <c r="B44" s="416"/>
      <c r="C44" s="516" t="s">
        <v>881</v>
      </c>
      <c r="D44" s="517" t="s">
        <v>974</v>
      </c>
      <c r="E44" s="518">
        <v>995</v>
      </c>
      <c r="F44" s="38">
        <v>101.5</v>
      </c>
      <c r="G44" s="41">
        <f t="shared" si="0"/>
        <v>0</v>
      </c>
      <c r="H44" s="39">
        <f t="shared" si="1"/>
        <v>3.2987500000000001</v>
      </c>
      <c r="I44" s="40">
        <f t="shared" si="2"/>
        <v>0</v>
      </c>
      <c r="J44" s="39">
        <f t="shared" si="3"/>
        <v>2.5781000000000001</v>
      </c>
      <c r="K44" s="40">
        <f t="shared" si="4"/>
        <v>0</v>
      </c>
      <c r="L44" s="39">
        <f t="shared" si="5"/>
        <v>2.1416500000000003</v>
      </c>
      <c r="M44" s="39">
        <f t="shared" si="6"/>
        <v>0</v>
      </c>
      <c r="N44" s="39">
        <f t="shared" si="7"/>
        <v>1.8777499999999998</v>
      </c>
      <c r="O44" s="39">
        <f t="shared" si="8"/>
        <v>0</v>
      </c>
    </row>
    <row r="45" spans="1:15" s="198" customFormat="1" ht="13.5" thickBot="1">
      <c r="A45" s="1254"/>
      <c r="B45" s="416"/>
      <c r="C45" s="516" t="s">
        <v>975</v>
      </c>
      <c r="D45" s="517" t="s">
        <v>976</v>
      </c>
      <c r="E45" s="518">
        <v>995</v>
      </c>
      <c r="F45" s="38">
        <v>52.5</v>
      </c>
      <c r="G45" s="41">
        <f t="shared" si="0"/>
        <v>0</v>
      </c>
      <c r="H45" s="39">
        <f t="shared" si="1"/>
        <v>1.70625</v>
      </c>
      <c r="I45" s="40">
        <f t="shared" si="2"/>
        <v>0</v>
      </c>
      <c r="J45" s="39">
        <f t="shared" si="3"/>
        <v>1.3334999999999999</v>
      </c>
      <c r="K45" s="40">
        <f t="shared" si="4"/>
        <v>0</v>
      </c>
      <c r="L45" s="39">
        <f t="shared" si="5"/>
        <v>1.10775</v>
      </c>
      <c r="M45" s="39">
        <f t="shared" si="6"/>
        <v>0</v>
      </c>
      <c r="N45" s="39">
        <f t="shared" si="7"/>
        <v>0.97124999999999995</v>
      </c>
      <c r="O45" s="39">
        <f t="shared" si="8"/>
        <v>0</v>
      </c>
    </row>
    <row r="46" spans="1:15" s="198" customFormat="1" ht="13.5" thickBot="1">
      <c r="A46" s="1254"/>
      <c r="B46" s="416"/>
      <c r="C46" s="516" t="s">
        <v>977</v>
      </c>
      <c r="D46" s="517" t="s">
        <v>978</v>
      </c>
      <c r="E46" s="518">
        <v>920</v>
      </c>
      <c r="F46" s="38">
        <v>560</v>
      </c>
      <c r="G46" s="41">
        <f t="shared" si="0"/>
        <v>0</v>
      </c>
      <c r="H46" s="39">
        <f t="shared" si="1"/>
        <v>18.2</v>
      </c>
      <c r="I46" s="40">
        <f t="shared" si="2"/>
        <v>0</v>
      </c>
      <c r="J46" s="39">
        <f t="shared" si="3"/>
        <v>14.224</v>
      </c>
      <c r="K46" s="40">
        <f t="shared" si="4"/>
        <v>0</v>
      </c>
      <c r="L46" s="39">
        <f t="shared" si="5"/>
        <v>11.816000000000001</v>
      </c>
      <c r="M46" s="39">
        <f t="shared" si="6"/>
        <v>0</v>
      </c>
      <c r="N46" s="39">
        <f t="shared" si="7"/>
        <v>10.36</v>
      </c>
      <c r="O46" s="39">
        <f t="shared" si="8"/>
        <v>0</v>
      </c>
    </row>
    <row r="47" spans="1:15" s="198" customFormat="1" ht="13.5" thickBot="1">
      <c r="A47" s="1254"/>
      <c r="B47" s="416"/>
      <c r="C47" s="516" t="s">
        <v>979</v>
      </c>
      <c r="D47" s="517" t="s">
        <v>980</v>
      </c>
      <c r="E47" s="518">
        <v>950</v>
      </c>
      <c r="F47" s="38">
        <v>416.5</v>
      </c>
      <c r="G47" s="41">
        <f t="shared" si="0"/>
        <v>0</v>
      </c>
      <c r="H47" s="39">
        <f t="shared" si="1"/>
        <v>13.536250000000001</v>
      </c>
      <c r="I47" s="40">
        <f t="shared" si="2"/>
        <v>0</v>
      </c>
      <c r="J47" s="39">
        <f t="shared" si="3"/>
        <v>10.5791</v>
      </c>
      <c r="K47" s="40">
        <f t="shared" si="4"/>
        <v>0</v>
      </c>
      <c r="L47" s="39">
        <f t="shared" si="5"/>
        <v>8.7881499999999999</v>
      </c>
      <c r="M47" s="39">
        <f t="shared" si="6"/>
        <v>0</v>
      </c>
      <c r="N47" s="39">
        <f t="shared" si="7"/>
        <v>7.7052499999999995</v>
      </c>
      <c r="O47" s="39">
        <f t="shared" si="8"/>
        <v>0</v>
      </c>
    </row>
    <row r="48" spans="1:15" s="291" customFormat="1" ht="13.5" thickBot="1">
      <c r="A48" s="1254"/>
      <c r="B48" s="416"/>
      <c r="C48" s="516" t="s">
        <v>981</v>
      </c>
      <c r="D48" s="517" t="s">
        <v>982</v>
      </c>
      <c r="E48" s="518">
        <v>150</v>
      </c>
      <c r="F48" s="38">
        <v>1116.5</v>
      </c>
      <c r="G48" s="41">
        <f t="shared" si="0"/>
        <v>0</v>
      </c>
      <c r="H48" s="39">
        <f t="shared" si="1"/>
        <v>36.286250000000003</v>
      </c>
      <c r="I48" s="40">
        <f t="shared" si="2"/>
        <v>0</v>
      </c>
      <c r="J48" s="39">
        <f t="shared" si="3"/>
        <v>28.359099999999998</v>
      </c>
      <c r="K48" s="40">
        <f t="shared" si="4"/>
        <v>0</v>
      </c>
      <c r="L48" s="39">
        <f t="shared" si="5"/>
        <v>23.558150000000001</v>
      </c>
      <c r="M48" s="39">
        <f t="shared" si="6"/>
        <v>0</v>
      </c>
      <c r="N48" s="39">
        <f t="shared" si="7"/>
        <v>20.655249999999999</v>
      </c>
      <c r="O48" s="39">
        <f t="shared" si="8"/>
        <v>0</v>
      </c>
    </row>
    <row r="49" spans="1:15" s="291" customFormat="1" ht="13.5" thickBot="1">
      <c r="A49" s="1254"/>
      <c r="B49" s="416"/>
      <c r="C49" s="516" t="s">
        <v>983</v>
      </c>
      <c r="D49" s="517" t="s">
        <v>984</v>
      </c>
      <c r="E49" s="518">
        <v>150</v>
      </c>
      <c r="F49" s="38">
        <v>346.5</v>
      </c>
      <c r="G49" s="41">
        <f t="shared" si="0"/>
        <v>0</v>
      </c>
      <c r="H49" s="39">
        <f t="shared" si="1"/>
        <v>11.26125</v>
      </c>
      <c r="I49" s="40">
        <f t="shared" si="2"/>
        <v>0</v>
      </c>
      <c r="J49" s="39">
        <f t="shared" si="3"/>
        <v>8.8010999999999999</v>
      </c>
      <c r="K49" s="40">
        <f t="shared" si="4"/>
        <v>0</v>
      </c>
      <c r="L49" s="39">
        <f t="shared" si="5"/>
        <v>7.3111500000000005</v>
      </c>
      <c r="M49" s="39">
        <f t="shared" si="6"/>
        <v>0</v>
      </c>
      <c r="N49" s="39">
        <f t="shared" si="7"/>
        <v>6.4102499999999996</v>
      </c>
      <c r="O49" s="39">
        <f t="shared" si="8"/>
        <v>0</v>
      </c>
    </row>
    <row r="50" spans="1:15" s="291" customFormat="1" ht="13.5" thickBot="1">
      <c r="A50" s="1254"/>
      <c r="B50" s="416"/>
      <c r="C50" s="516" t="s">
        <v>985</v>
      </c>
      <c r="D50" s="517" t="s">
        <v>986</v>
      </c>
      <c r="E50" s="518">
        <v>200</v>
      </c>
      <c r="F50" s="38">
        <v>1172.5</v>
      </c>
      <c r="G50" s="41">
        <f t="shared" si="0"/>
        <v>0</v>
      </c>
      <c r="H50" s="39">
        <f t="shared" si="1"/>
        <v>38.106250000000003</v>
      </c>
      <c r="I50" s="40">
        <f t="shared" si="2"/>
        <v>0</v>
      </c>
      <c r="J50" s="39">
        <f t="shared" si="3"/>
        <v>29.781499999999998</v>
      </c>
      <c r="K50" s="40">
        <f t="shared" si="4"/>
        <v>0</v>
      </c>
      <c r="L50" s="39">
        <f t="shared" si="5"/>
        <v>24.739750000000001</v>
      </c>
      <c r="M50" s="39">
        <f t="shared" si="6"/>
        <v>0</v>
      </c>
      <c r="N50" s="39">
        <f t="shared" si="7"/>
        <v>21.69125</v>
      </c>
      <c r="O50" s="39">
        <f t="shared" si="8"/>
        <v>0</v>
      </c>
    </row>
    <row r="51" spans="1:15" s="291" customFormat="1" ht="13.5" thickBot="1">
      <c r="A51" s="1380"/>
      <c r="B51" s="416"/>
      <c r="C51" s="516" t="s">
        <v>987</v>
      </c>
      <c r="D51" s="517" t="s">
        <v>988</v>
      </c>
      <c r="E51" s="518">
        <v>600</v>
      </c>
      <c r="F51" s="38">
        <v>20860</v>
      </c>
      <c r="G51" s="41">
        <f>F51*B51</f>
        <v>0</v>
      </c>
      <c r="H51" s="39">
        <f>F51*0.0325</f>
        <v>677.95</v>
      </c>
      <c r="I51" s="40">
        <f>H51*B51</f>
        <v>0</v>
      </c>
      <c r="J51" s="39">
        <f>F51*0.0254</f>
        <v>529.84399999999994</v>
      </c>
      <c r="K51" s="40">
        <f>J51*B51</f>
        <v>0</v>
      </c>
      <c r="L51" s="39">
        <f>F51*0.0211</f>
        <v>440.14600000000002</v>
      </c>
      <c r="M51" s="39">
        <f>L51*B51</f>
        <v>0</v>
      </c>
      <c r="N51" s="39">
        <f>F51*0.0185</f>
        <v>385.90999999999997</v>
      </c>
      <c r="O51" s="39">
        <f>N51*B51</f>
        <v>0</v>
      </c>
    </row>
    <row r="52" spans="1:15" s="291" customFormat="1" ht="15">
      <c r="A52" s="519"/>
      <c r="B52" s="258"/>
      <c r="C52" s="258"/>
      <c r="D52" s="1008" t="s">
        <v>65</v>
      </c>
      <c r="E52" s="1088"/>
      <c r="F52" s="1088"/>
      <c r="G52" s="520">
        <f t="array" ref="G52">SUM(G36:G51)+G33:G35:G51</f>
        <v>0</v>
      </c>
      <c r="H52" s="329" t="s">
        <v>66</v>
      </c>
      <c r="I52" s="520">
        <f t="array" ref="I52">SUM(I36:I51)+I33:I35:I51</f>
        <v>0</v>
      </c>
      <c r="J52" s="329" t="s">
        <v>67</v>
      </c>
      <c r="K52" s="520">
        <f t="array" ref="K52">SUM(K36:K51)+K33:K35:K51</f>
        <v>0</v>
      </c>
      <c r="L52" s="329" t="s">
        <v>68</v>
      </c>
      <c r="M52" s="520">
        <f t="array" ref="M52">SUM(M36:M51)+M33:M35:M51</f>
        <v>0</v>
      </c>
      <c r="N52" s="329" t="s">
        <v>69</v>
      </c>
      <c r="O52" s="520">
        <f t="array" ref="O52">SUM(O36:O51)+O33:O35:O51</f>
        <v>0</v>
      </c>
    </row>
    <row r="53" spans="1:15" s="291" customFormat="1">
      <c r="A53" s="315"/>
      <c r="B53" s="256"/>
      <c r="C53" s="256"/>
      <c r="D53" s="315"/>
      <c r="E53" s="315"/>
      <c r="F53" s="456"/>
      <c r="G53" s="456"/>
      <c r="H53" s="315"/>
      <c r="I53" s="315"/>
      <c r="J53" s="315"/>
      <c r="K53" s="315"/>
      <c r="L53" s="315"/>
      <c r="M53" s="315"/>
      <c r="N53" s="315"/>
      <c r="O53" s="315"/>
    </row>
    <row r="54" spans="1:15" s="291" customFormat="1" ht="15.75">
      <c r="A54" s="256"/>
      <c r="B54" s="521"/>
      <c r="C54" s="521"/>
      <c r="D54" s="522"/>
      <c r="E54" s="522"/>
      <c r="F54" s="523"/>
      <c r="G54" s="333"/>
      <c r="H54" s="256"/>
      <c r="I54" s="256"/>
      <c r="J54" s="256"/>
      <c r="K54" s="256"/>
      <c r="L54" s="256"/>
      <c r="M54" s="256"/>
      <c r="N54" s="256"/>
      <c r="O54" s="256"/>
    </row>
    <row r="55" spans="1:15" s="519" customFormat="1">
      <c r="A55" s="256"/>
      <c r="B55" s="256"/>
      <c r="C55" s="256"/>
      <c r="D55" s="256"/>
      <c r="E55" s="256"/>
      <c r="F55" s="523"/>
      <c r="G55" s="333"/>
      <c r="H55" s="256"/>
      <c r="I55" s="256"/>
      <c r="J55" s="256"/>
      <c r="K55" s="256"/>
      <c r="L55" s="256"/>
      <c r="M55" s="256"/>
      <c r="N55" s="256"/>
      <c r="O55" s="256"/>
    </row>
    <row r="56" spans="1:15" s="519" customFormat="1">
      <c r="A56" s="256"/>
      <c r="B56" s="256"/>
      <c r="C56" s="256"/>
      <c r="D56" s="256"/>
      <c r="E56" s="256"/>
      <c r="F56" s="333"/>
      <c r="G56" s="333"/>
      <c r="H56" s="256"/>
      <c r="I56" s="256"/>
      <c r="J56" s="256"/>
      <c r="K56" s="256"/>
      <c r="L56" s="256"/>
      <c r="M56" s="256"/>
      <c r="N56" s="256"/>
      <c r="O56" s="256"/>
    </row>
    <row r="57" spans="1:15" s="524" customFormat="1" hidden="1">
      <c r="A57" s="256"/>
      <c r="B57" s="256"/>
      <c r="C57" s="256"/>
      <c r="D57" s="256"/>
      <c r="E57" s="256"/>
      <c r="F57" s="333"/>
      <c r="G57" s="333"/>
      <c r="H57" s="256"/>
      <c r="I57" s="256"/>
      <c r="J57" s="256"/>
      <c r="K57" s="256"/>
      <c r="L57" s="256"/>
      <c r="M57" s="256"/>
      <c r="N57" s="256"/>
      <c r="O57" s="256"/>
    </row>
    <row r="58" spans="1:15" s="519" customFormat="1">
      <c r="A58" s="256"/>
      <c r="B58" s="256"/>
      <c r="C58" s="256"/>
      <c r="D58" s="256"/>
      <c r="E58" s="256"/>
      <c r="F58" s="333"/>
      <c r="G58" s="333"/>
      <c r="H58" s="256"/>
      <c r="I58" s="256"/>
      <c r="J58" s="256"/>
      <c r="K58" s="256"/>
      <c r="L58" s="256"/>
      <c r="M58" s="256"/>
      <c r="N58" s="256"/>
      <c r="O58" s="256"/>
    </row>
    <row r="59" spans="1:15" s="315" customFormat="1">
      <c r="A59" s="256"/>
      <c r="B59" s="256"/>
      <c r="C59" s="256"/>
      <c r="D59" s="256"/>
      <c r="E59" s="256"/>
      <c r="F59" s="333"/>
      <c r="G59" s="333"/>
      <c r="H59" s="256"/>
      <c r="I59" s="256"/>
      <c r="J59" s="256"/>
      <c r="K59" s="256"/>
      <c r="L59" s="256"/>
      <c r="M59" s="256"/>
      <c r="N59" s="256"/>
      <c r="O59" s="256"/>
    </row>
    <row r="72" spans="2:3">
      <c r="B72" s="258"/>
      <c r="C72" s="258"/>
    </row>
  </sheetData>
  <mergeCells count="24">
    <mergeCell ref="A33:A34"/>
    <mergeCell ref="B33:B34"/>
    <mergeCell ref="A35:O35"/>
    <mergeCell ref="A36:A51"/>
    <mergeCell ref="D52:F52"/>
    <mergeCell ref="A23:O23"/>
    <mergeCell ref="F31:G31"/>
    <mergeCell ref="H31:O31"/>
    <mergeCell ref="A24:H24"/>
    <mergeCell ref="I24:O24"/>
    <mergeCell ref="A25:H25"/>
    <mergeCell ref="I25:O25"/>
    <mergeCell ref="A26:H26"/>
    <mergeCell ref="I26:O26"/>
    <mergeCell ref="A27:H27"/>
    <mergeCell ref="I27:O27"/>
    <mergeCell ref="A28:H28"/>
    <mergeCell ref="I28:O28"/>
    <mergeCell ref="A29:O29"/>
    <mergeCell ref="A4:O4"/>
    <mergeCell ref="A5:O5"/>
    <mergeCell ref="H8:J8"/>
    <mergeCell ref="D17:D18"/>
    <mergeCell ref="A22:O22"/>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tabColor rgb="FFFF0000"/>
  </sheetPr>
  <dimension ref="A1:R42"/>
  <sheetViews>
    <sheetView zoomScale="65" zoomScaleNormal="65" workbookViewId="0">
      <selection activeCell="H41" sqref="H41"/>
    </sheetView>
  </sheetViews>
  <sheetFormatPr defaultColWidth="8.85546875" defaultRowHeight="12.75"/>
  <cols>
    <col min="1" max="1" width="15" style="73" customWidth="1"/>
    <col min="2" max="2" width="10" style="73" customWidth="1"/>
    <col min="3" max="3" width="17.140625" style="73" customWidth="1"/>
    <col min="4" max="4" width="44.42578125" style="73" customWidth="1"/>
    <col min="5" max="5" width="17.42578125" style="73" customWidth="1"/>
    <col min="6" max="6" width="15.5703125" style="130" customWidth="1"/>
    <col min="7" max="7" width="23.42578125" style="130" customWidth="1"/>
    <col min="8" max="8" width="28.28515625" style="73" customWidth="1"/>
    <col min="9" max="9" width="19" style="73" customWidth="1"/>
    <col min="10" max="10" width="25" style="73" customWidth="1"/>
    <col min="11" max="11" width="19" style="73" customWidth="1"/>
    <col min="12" max="12" width="25" style="73" customWidth="1"/>
    <col min="13" max="13" width="18.42578125" style="73" customWidth="1"/>
    <col min="14" max="14" width="25" style="73" customWidth="1"/>
    <col min="15" max="15" width="19.28515625" style="73" customWidth="1"/>
    <col min="16" max="16" width="25" style="73" bestFit="1" customWidth="1"/>
    <col min="17" max="17" width="19.28515625" style="73" customWidth="1"/>
    <col min="18" max="16384" width="8.85546875" style="73"/>
  </cols>
  <sheetData>
    <row r="1" spans="1:18" ht="13.5" thickBot="1">
      <c r="B1" s="74"/>
      <c r="C1" s="74"/>
      <c r="D1" s="75"/>
      <c r="E1" s="75"/>
      <c r="F1" s="76"/>
      <c r="G1" s="76"/>
      <c r="H1" s="76"/>
      <c r="I1" s="76"/>
      <c r="J1" s="76"/>
      <c r="K1" s="75"/>
      <c r="L1" s="76"/>
    </row>
    <row r="2" spans="1:18" ht="9" customHeight="1">
      <c r="A2" s="77"/>
      <c r="B2" s="78"/>
      <c r="C2" s="78"/>
      <c r="D2" s="79"/>
      <c r="E2" s="79"/>
      <c r="F2" s="80"/>
      <c r="G2" s="80"/>
      <c r="H2" s="80"/>
      <c r="I2" s="81"/>
      <c r="J2" s="81"/>
      <c r="K2" s="81"/>
      <c r="L2" s="81"/>
      <c r="M2" s="77"/>
      <c r="N2" s="77"/>
      <c r="O2" s="77"/>
      <c r="P2" s="77"/>
      <c r="Q2" s="77"/>
    </row>
    <row r="3" spans="1:18" ht="10.5" customHeight="1">
      <c r="B3" s="74"/>
      <c r="C3" s="74"/>
      <c r="D3" s="75"/>
      <c r="E3" s="75"/>
      <c r="F3" s="76"/>
      <c r="G3" s="76"/>
      <c r="H3" s="76"/>
      <c r="I3" s="82"/>
      <c r="J3" s="82"/>
      <c r="K3" s="82"/>
      <c r="L3" s="82"/>
    </row>
    <row r="4" spans="1:18" ht="36" customHeight="1">
      <c r="A4" s="1130" t="s">
        <v>1023</v>
      </c>
      <c r="B4" s="964"/>
      <c r="C4" s="964"/>
      <c r="D4" s="964"/>
      <c r="E4" s="964"/>
      <c r="F4" s="964"/>
      <c r="G4" s="964"/>
      <c r="H4" s="964"/>
      <c r="I4" s="964"/>
      <c r="J4" s="964"/>
      <c r="K4" s="964"/>
      <c r="L4" s="964"/>
      <c r="M4" s="964"/>
      <c r="N4" s="964"/>
      <c r="O4" s="964"/>
    </row>
    <row r="5" spans="1:18" s="83" customFormat="1" ht="41.25" customHeight="1">
      <c r="A5" s="1384" t="s">
        <v>1024</v>
      </c>
      <c r="B5" s="1203"/>
      <c r="C5" s="1203"/>
      <c r="D5" s="1203"/>
      <c r="E5" s="1203"/>
      <c r="F5" s="1203"/>
      <c r="G5" s="1203"/>
      <c r="H5" s="1203"/>
      <c r="I5" s="1203"/>
      <c r="J5" s="1203"/>
      <c r="K5" s="1203"/>
      <c r="L5" s="1203"/>
      <c r="M5" s="1203"/>
      <c r="N5" s="1203"/>
      <c r="O5" s="1203"/>
    </row>
    <row r="6" spans="1:18" ht="9" customHeight="1" thickBot="1">
      <c r="A6" s="84"/>
      <c r="B6" s="84"/>
      <c r="C6" s="84"/>
      <c r="D6" s="84"/>
      <c r="E6" s="84"/>
      <c r="F6" s="84"/>
      <c r="G6" s="84"/>
      <c r="H6" s="84"/>
      <c r="I6" s="84"/>
      <c r="J6" s="84"/>
      <c r="K6" s="84"/>
      <c r="L6" s="88"/>
      <c r="M6" s="84"/>
      <c r="N6" s="84"/>
      <c r="O6" s="84"/>
      <c r="P6" s="84"/>
      <c r="Q6" s="84"/>
    </row>
    <row r="7" spans="1:18" s="82" customFormat="1" ht="14.25">
      <c r="B7" s="89"/>
      <c r="C7" s="89"/>
      <c r="D7" s="90"/>
      <c r="E7" s="90"/>
      <c r="F7" s="90"/>
      <c r="G7" s="90"/>
      <c r="H7" s="90"/>
      <c r="I7" s="90"/>
      <c r="J7" s="90"/>
      <c r="K7" s="90"/>
      <c r="L7" s="90"/>
      <c r="M7" s="90"/>
      <c r="N7" s="90"/>
      <c r="O7" s="90"/>
      <c r="P7" s="90"/>
      <c r="Q7" s="90"/>
      <c r="R7" s="90"/>
    </row>
    <row r="8" spans="1:18" s="82" customFormat="1" ht="14.25">
      <c r="F8" s="184"/>
      <c r="G8" s="184"/>
      <c r="H8" s="1385"/>
      <c r="I8" s="1385"/>
      <c r="J8" s="1385"/>
      <c r="K8" s="136"/>
    </row>
    <row r="9" spans="1:18" s="82" customFormat="1">
      <c r="F9" s="184"/>
      <c r="G9" s="184"/>
      <c r="H9" s="92"/>
    </row>
    <row r="10" spans="1:18" s="82" customFormat="1">
      <c r="F10" s="184"/>
      <c r="G10" s="184"/>
      <c r="H10" s="92"/>
      <c r="J10" s="93"/>
      <c r="L10" s="93"/>
    </row>
    <row r="11" spans="1:18" s="82" customFormat="1" ht="12" customHeight="1">
      <c r="F11" s="184"/>
      <c r="G11" s="184"/>
      <c r="H11" s="92"/>
      <c r="I11" s="93"/>
      <c r="J11" s="93"/>
      <c r="L11" s="93"/>
    </row>
    <row r="12" spans="1:18" s="82" customFormat="1" ht="18.75" thickBot="1">
      <c r="A12" s="1386" t="s">
        <v>30</v>
      </c>
      <c r="B12" s="1387"/>
      <c r="C12" s="1387"/>
      <c r="D12" s="1387"/>
      <c r="E12" s="1387"/>
      <c r="F12" s="1387"/>
      <c r="G12" s="1387"/>
      <c r="H12" s="1387"/>
      <c r="I12" s="1387"/>
      <c r="J12" s="1387"/>
      <c r="K12" s="1387"/>
      <c r="L12" s="1387"/>
      <c r="M12" s="1387"/>
      <c r="N12" s="1387"/>
      <c r="O12" s="1387"/>
      <c r="P12" s="1387"/>
      <c r="Q12" s="1387"/>
    </row>
    <row r="13" spans="1:18" s="82" customFormat="1" ht="18" customHeight="1">
      <c r="A13" s="1388" t="s">
        <v>1020</v>
      </c>
      <c r="B13" s="1389"/>
      <c r="C13" s="1389"/>
      <c r="D13" s="1389"/>
      <c r="E13" s="1389"/>
      <c r="F13" s="1389"/>
      <c r="G13" s="1389"/>
      <c r="H13" s="1389"/>
      <c r="I13" s="1389"/>
      <c r="J13" s="1389"/>
      <c r="K13" s="1389"/>
      <c r="L13" s="1389"/>
      <c r="M13" s="1389"/>
      <c r="N13" s="1389"/>
      <c r="O13" s="1389"/>
      <c r="P13" s="1389"/>
      <c r="Q13" s="1390"/>
    </row>
    <row r="14" spans="1:18" s="82" customFormat="1" ht="18" customHeight="1">
      <c r="A14" s="1391" t="s">
        <v>845</v>
      </c>
      <c r="B14" s="1392"/>
      <c r="C14" s="1392"/>
      <c r="D14" s="1392"/>
      <c r="E14" s="1392"/>
      <c r="F14" s="1392"/>
      <c r="G14" s="1392"/>
      <c r="H14" s="1392"/>
      <c r="I14" s="1393">
        <v>600</v>
      </c>
      <c r="J14" s="1393"/>
      <c r="K14" s="1393"/>
      <c r="L14" s="1393"/>
      <c r="M14" s="1393"/>
      <c r="N14" s="1393"/>
      <c r="O14" s="1393"/>
      <c r="P14" s="1393"/>
      <c r="Q14" s="1394"/>
    </row>
    <row r="15" spans="1:18" s="82" customFormat="1" ht="18" customHeight="1" thickBot="1">
      <c r="A15" s="1381" t="s">
        <v>846</v>
      </c>
      <c r="B15" s="1382"/>
      <c r="C15" s="1382"/>
      <c r="D15" s="1382"/>
      <c r="E15" s="1382"/>
      <c r="F15" s="1382"/>
      <c r="G15" s="1382"/>
      <c r="H15" s="1382"/>
      <c r="I15" s="1382"/>
      <c r="J15" s="1382"/>
      <c r="K15" s="1382"/>
      <c r="L15" s="1382"/>
      <c r="M15" s="1382"/>
      <c r="N15" s="1382"/>
      <c r="O15" s="1382"/>
      <c r="P15" s="1382"/>
      <c r="Q15" s="1383"/>
    </row>
    <row r="16" spans="1:18" s="82" customFormat="1" ht="15" thickBot="1">
      <c r="D16" s="105"/>
      <c r="E16" s="105"/>
      <c r="F16" s="104"/>
      <c r="G16" s="104"/>
      <c r="I16" s="119"/>
      <c r="J16" s="119"/>
      <c r="K16" s="119"/>
      <c r="L16" s="119"/>
    </row>
    <row r="17" spans="1:17" s="82" customFormat="1" ht="13.5" thickBot="1">
      <c r="F17" s="1202" t="s">
        <v>43</v>
      </c>
      <c r="G17" s="987"/>
      <c r="H17" s="991" t="s">
        <v>44</v>
      </c>
      <c r="I17" s="992"/>
      <c r="J17" s="992"/>
      <c r="K17" s="992"/>
      <c r="L17" s="992"/>
      <c r="M17" s="992"/>
      <c r="N17" s="992"/>
      <c r="O17" s="992"/>
      <c r="P17" s="992"/>
      <c r="Q17" s="1396"/>
    </row>
    <row r="18" spans="1:17" s="82" customFormat="1" ht="57.75" customHeight="1" thickBot="1">
      <c r="A18" s="188" t="s">
        <v>45</v>
      </c>
      <c r="B18" s="188" t="s">
        <v>46</v>
      </c>
      <c r="C18" s="189" t="s">
        <v>47</v>
      </c>
      <c r="D18" s="189" t="s">
        <v>48</v>
      </c>
      <c r="E18" s="189" t="s">
        <v>49</v>
      </c>
      <c r="F18" s="189" t="s">
        <v>50</v>
      </c>
      <c r="G18" s="188" t="s">
        <v>51</v>
      </c>
      <c r="H18" s="189" t="s">
        <v>53</v>
      </c>
      <c r="I18" s="188" t="s">
        <v>51</v>
      </c>
      <c r="J18" s="189" t="s">
        <v>54</v>
      </c>
      <c r="K18" s="188" t="s">
        <v>51</v>
      </c>
      <c r="L18" s="189" t="s">
        <v>55</v>
      </c>
      <c r="M18" s="188" t="s">
        <v>51</v>
      </c>
      <c r="N18" s="189" t="s">
        <v>847</v>
      </c>
      <c r="O18" s="188" t="s">
        <v>51</v>
      </c>
      <c r="P18" s="189" t="s">
        <v>848</v>
      </c>
      <c r="Q18" s="188" t="s">
        <v>51</v>
      </c>
    </row>
    <row r="19" spans="1:17" s="82" customFormat="1" ht="46.5" customHeight="1" thickBot="1">
      <c r="A19" s="1270">
        <v>48</v>
      </c>
      <c r="B19" s="1271"/>
      <c r="C19" s="192" t="s">
        <v>1025</v>
      </c>
      <c r="D19" s="206" t="s">
        <v>1023</v>
      </c>
      <c r="E19" s="194">
        <v>6145</v>
      </c>
      <c r="F19" s="12">
        <f>SUM(E19:E20)*(1-20%)</f>
        <v>5123.2000000000007</v>
      </c>
      <c r="G19" s="1159">
        <f>F19*B19</f>
        <v>0</v>
      </c>
      <c r="H19" s="12">
        <f>F19*0.03137+I14/12</f>
        <v>210.71478400000004</v>
      </c>
      <c r="I19" s="1159">
        <f>H19*B19</f>
        <v>0</v>
      </c>
      <c r="J19" s="12">
        <f>F19*0.0274+I14/12</f>
        <v>190.37568000000002</v>
      </c>
      <c r="K19" s="1159">
        <f>J19*B19</f>
        <v>0</v>
      </c>
      <c r="L19" s="13">
        <f>F19*0.0228+I14/12</f>
        <v>166.80896000000001</v>
      </c>
      <c r="M19" s="1159">
        <f>L19*B19</f>
        <v>0</v>
      </c>
      <c r="N19" s="13">
        <f>F19*0.0204+I14/12</f>
        <v>154.51328000000001</v>
      </c>
      <c r="O19" s="1159">
        <f>N19*B19</f>
        <v>0</v>
      </c>
      <c r="P19" s="13">
        <f>F19*0.0185+I14/12</f>
        <v>144.7792</v>
      </c>
      <c r="Q19" s="1159">
        <f>P19*B19</f>
        <v>0</v>
      </c>
    </row>
    <row r="20" spans="1:17" s="82" customFormat="1" ht="13.5" thickBot="1">
      <c r="A20" s="1270"/>
      <c r="B20" s="1271"/>
      <c r="C20" s="195" t="s">
        <v>424</v>
      </c>
      <c r="D20" s="199" t="s">
        <v>57</v>
      </c>
      <c r="E20" s="512">
        <v>259</v>
      </c>
      <c r="F20" s="196" t="s">
        <v>35</v>
      </c>
      <c r="G20" s="1397"/>
      <c r="H20" s="197" t="s">
        <v>35</v>
      </c>
      <c r="I20" s="1397"/>
      <c r="J20" s="197" t="s">
        <v>35</v>
      </c>
      <c r="K20" s="1397"/>
      <c r="L20" s="197" t="s">
        <v>35</v>
      </c>
      <c r="M20" s="1397"/>
      <c r="N20" s="197" t="s">
        <v>35</v>
      </c>
      <c r="O20" s="1397"/>
      <c r="P20" s="197" t="s">
        <v>35</v>
      </c>
      <c r="Q20" s="1162"/>
    </row>
    <row r="21" spans="1:17" s="198" customFormat="1" ht="15.75" customHeight="1" thickBot="1">
      <c r="A21" s="1398" t="s">
        <v>59</v>
      </c>
      <c r="B21" s="1399"/>
      <c r="C21" s="1400"/>
      <c r="D21" s="1400"/>
      <c r="E21" s="1400"/>
      <c r="F21" s="1400"/>
      <c r="G21" s="1400"/>
      <c r="H21" s="1400"/>
      <c r="I21" s="1400"/>
      <c r="J21" s="1400"/>
      <c r="K21" s="1400"/>
      <c r="L21" s="1400"/>
      <c r="M21" s="1400"/>
      <c r="N21" s="1400"/>
      <c r="O21" s="1400"/>
      <c r="P21" s="1400"/>
      <c r="Q21" s="1401"/>
    </row>
    <row r="22" spans="1:17" s="120" customFormat="1" ht="15">
      <c r="A22" s="125"/>
      <c r="B22" s="75"/>
      <c r="C22" s="75"/>
      <c r="D22" s="979" t="s">
        <v>65</v>
      </c>
      <c r="E22" s="972"/>
      <c r="F22" s="1395"/>
      <c r="G22" s="6">
        <f>G19</f>
        <v>0</v>
      </c>
      <c r="H22" s="7" t="s">
        <v>67</v>
      </c>
      <c r="I22" s="6">
        <f>I19</f>
        <v>0</v>
      </c>
      <c r="J22" s="7" t="s">
        <v>68</v>
      </c>
      <c r="K22" s="6">
        <f>K19</f>
        <v>0</v>
      </c>
      <c r="L22" s="7" t="s">
        <v>69</v>
      </c>
      <c r="M22" s="6">
        <f>M19</f>
        <v>0</v>
      </c>
      <c r="N22" s="7" t="s">
        <v>860</v>
      </c>
      <c r="O22" s="6">
        <f>O19</f>
        <v>0</v>
      </c>
      <c r="P22" s="7" t="s">
        <v>861</v>
      </c>
      <c r="Q22" s="6">
        <f>Q19</f>
        <v>0</v>
      </c>
    </row>
    <row r="23" spans="1:17" s="120" customFormat="1">
      <c r="A23" s="128"/>
      <c r="B23" s="73"/>
      <c r="C23" s="73"/>
      <c r="D23" s="128"/>
      <c r="E23" s="128"/>
      <c r="F23" s="15"/>
      <c r="G23" s="15"/>
      <c r="H23" s="17"/>
      <c r="I23" s="17"/>
      <c r="J23" s="17"/>
      <c r="K23" s="17"/>
      <c r="L23" s="17"/>
      <c r="M23" s="17"/>
      <c r="N23" s="17"/>
      <c r="O23" s="17"/>
      <c r="P23" s="17"/>
      <c r="Q23" s="17"/>
    </row>
    <row r="24" spans="1:17" s="120" customFormat="1" ht="15.75">
      <c r="A24" s="73"/>
      <c r="B24" s="203"/>
      <c r="C24" s="203"/>
      <c r="D24" s="204"/>
      <c r="E24" s="204"/>
      <c r="F24" s="16"/>
      <c r="G24" s="4"/>
      <c r="H24" s="5"/>
      <c r="I24" s="5"/>
      <c r="J24" s="5"/>
      <c r="K24" s="5"/>
      <c r="L24" s="5"/>
      <c r="M24" s="5"/>
      <c r="N24" s="5"/>
      <c r="O24" s="5"/>
      <c r="P24" s="5"/>
      <c r="Q24" s="5"/>
    </row>
    <row r="25" spans="1:17" s="125" customFormat="1">
      <c r="A25" s="73"/>
      <c r="B25" s="73"/>
      <c r="C25" s="73"/>
      <c r="D25" s="73"/>
      <c r="E25" s="73"/>
      <c r="F25" s="16"/>
      <c r="G25" s="4"/>
      <c r="H25" s="5"/>
      <c r="I25" s="5"/>
      <c r="J25" s="5"/>
      <c r="K25" s="5"/>
      <c r="L25" s="5"/>
      <c r="M25" s="5"/>
      <c r="N25" s="5"/>
      <c r="O25" s="5"/>
      <c r="P25" s="5"/>
      <c r="Q25" s="5"/>
    </row>
    <row r="26" spans="1:17" s="125" customFormat="1">
      <c r="A26" s="73"/>
      <c r="B26" s="73"/>
      <c r="C26" s="73"/>
      <c r="D26" s="73"/>
      <c r="E26" s="73"/>
      <c r="F26" s="4"/>
      <c r="G26" s="4"/>
      <c r="H26" s="5"/>
      <c r="I26" s="5"/>
      <c r="J26" s="5"/>
      <c r="K26" s="5"/>
      <c r="L26" s="5"/>
      <c r="M26" s="5"/>
      <c r="N26" s="5"/>
      <c r="O26" s="5"/>
      <c r="P26" s="5"/>
      <c r="Q26" s="5"/>
    </row>
    <row r="27" spans="1:17" s="205" customFormat="1" hidden="1">
      <c r="A27" s="73"/>
      <c r="B27" s="73"/>
      <c r="C27" s="73"/>
      <c r="D27" s="73"/>
      <c r="E27" s="73"/>
      <c r="F27" s="4"/>
      <c r="G27" s="4"/>
      <c r="H27" s="5"/>
      <c r="I27" s="5"/>
      <c r="J27" s="5"/>
      <c r="K27" s="5"/>
      <c r="L27" s="5"/>
      <c r="M27" s="5"/>
      <c r="N27" s="5"/>
      <c r="O27" s="5"/>
      <c r="P27" s="5"/>
      <c r="Q27" s="5"/>
    </row>
    <row r="28" spans="1:17" s="125" customFormat="1">
      <c r="A28" s="73"/>
      <c r="B28" s="73"/>
      <c r="C28" s="73"/>
      <c r="D28" s="73"/>
      <c r="E28" s="73"/>
      <c r="F28" s="130"/>
      <c r="G28" s="4"/>
      <c r="H28" s="73"/>
      <c r="I28" s="5"/>
      <c r="J28" s="73"/>
      <c r="K28" s="5"/>
      <c r="L28" s="73"/>
      <c r="M28" s="5"/>
      <c r="N28" s="73"/>
      <c r="O28" s="5"/>
      <c r="P28" s="73"/>
      <c r="Q28" s="5"/>
    </row>
    <row r="29" spans="1:17" s="128" customFormat="1">
      <c r="A29" s="73"/>
      <c r="B29" s="73"/>
      <c r="C29" s="73"/>
      <c r="D29" s="73"/>
      <c r="E29" s="73"/>
      <c r="F29" s="130"/>
      <c r="G29" s="130"/>
      <c r="H29" s="73"/>
      <c r="I29" s="73"/>
      <c r="J29" s="73"/>
      <c r="K29" s="73"/>
      <c r="L29" s="73"/>
      <c r="M29" s="73"/>
      <c r="N29" s="73"/>
      <c r="O29" s="73"/>
      <c r="P29" s="73"/>
      <c r="Q29" s="73"/>
    </row>
    <row r="33" spans="2:12">
      <c r="L33" s="481">
        <f>F33*0.0256</f>
        <v>0</v>
      </c>
    </row>
    <row r="42" spans="2:12">
      <c r="B42" s="75"/>
      <c r="C42" s="75"/>
    </row>
  </sheetData>
  <mergeCells count="20">
    <mergeCell ref="D22:F22"/>
    <mergeCell ref="F17:G17"/>
    <mergeCell ref="H17:Q17"/>
    <mergeCell ref="A19:A20"/>
    <mergeCell ref="B19:B20"/>
    <mergeCell ref="G19:G20"/>
    <mergeCell ref="I19:I20"/>
    <mergeCell ref="A21:Q21"/>
    <mergeCell ref="K19:K20"/>
    <mergeCell ref="M19:M20"/>
    <mergeCell ref="O19:O20"/>
    <mergeCell ref="Q19:Q20"/>
    <mergeCell ref="A15:Q15"/>
    <mergeCell ref="A4:O4"/>
    <mergeCell ref="A5:O5"/>
    <mergeCell ref="H8:J8"/>
    <mergeCell ref="A12:Q12"/>
    <mergeCell ref="A13:Q13"/>
    <mergeCell ref="A14:H14"/>
    <mergeCell ref="I14:Q14"/>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tabColor rgb="FFFF0000"/>
  </sheetPr>
  <dimension ref="A1:R42"/>
  <sheetViews>
    <sheetView zoomScale="65" zoomScaleNormal="65" workbookViewId="0">
      <selection activeCell="H41" sqref="H41"/>
    </sheetView>
  </sheetViews>
  <sheetFormatPr defaultColWidth="8.85546875" defaultRowHeight="12.75"/>
  <cols>
    <col min="1" max="1" width="15" style="73" customWidth="1"/>
    <col min="2" max="2" width="10" style="73" customWidth="1"/>
    <col min="3" max="3" width="17.140625" style="73" customWidth="1"/>
    <col min="4" max="4" width="44.42578125" style="73" customWidth="1"/>
    <col min="5" max="5" width="17.42578125" style="73" customWidth="1"/>
    <col min="6" max="6" width="15.5703125" style="130" customWidth="1"/>
    <col min="7" max="7" width="23.42578125" style="130" customWidth="1"/>
    <col min="8" max="8" width="28.28515625" style="73" customWidth="1"/>
    <col min="9" max="9" width="19" style="73" customWidth="1"/>
    <col min="10" max="10" width="25" style="73" customWidth="1"/>
    <col min="11" max="11" width="19" style="73" customWidth="1"/>
    <col min="12" max="12" width="25" style="73" customWidth="1"/>
    <col min="13" max="13" width="18.42578125" style="73" customWidth="1"/>
    <col min="14" max="14" width="25" style="73" customWidth="1"/>
    <col min="15" max="15" width="19.28515625" style="73" customWidth="1"/>
    <col min="16" max="16" width="25" style="73" bestFit="1" customWidth="1"/>
    <col min="17" max="17" width="19.28515625" style="73" customWidth="1"/>
    <col min="18" max="16384" width="8.85546875" style="73"/>
  </cols>
  <sheetData>
    <row r="1" spans="1:18" ht="13.5" thickBot="1">
      <c r="B1" s="74"/>
      <c r="C1" s="74"/>
      <c r="D1" s="75"/>
      <c r="E1" s="75"/>
      <c r="F1" s="76"/>
      <c r="G1" s="76"/>
      <c r="H1" s="76"/>
      <c r="I1" s="76"/>
      <c r="J1" s="76"/>
      <c r="K1" s="75"/>
      <c r="L1" s="76"/>
    </row>
    <row r="2" spans="1:18" ht="9" customHeight="1">
      <c r="A2" s="77"/>
      <c r="B2" s="78"/>
      <c r="C2" s="78"/>
      <c r="D2" s="79"/>
      <c r="E2" s="79"/>
      <c r="F2" s="80"/>
      <c r="G2" s="80"/>
      <c r="H2" s="80"/>
      <c r="I2" s="81"/>
      <c r="J2" s="81"/>
      <c r="K2" s="81"/>
      <c r="L2" s="81"/>
      <c r="M2" s="77"/>
      <c r="N2" s="77"/>
      <c r="O2" s="77"/>
      <c r="P2" s="77"/>
      <c r="Q2" s="77"/>
    </row>
    <row r="3" spans="1:18" ht="10.5" customHeight="1">
      <c r="B3" s="74"/>
      <c r="C3" s="74"/>
      <c r="D3" s="75"/>
      <c r="E3" s="75"/>
      <c r="F3" s="76"/>
      <c r="G3" s="76"/>
      <c r="H3" s="76"/>
      <c r="I3" s="82"/>
      <c r="J3" s="82"/>
      <c r="K3" s="82"/>
      <c r="L3" s="82"/>
    </row>
    <row r="4" spans="1:18" ht="36" customHeight="1">
      <c r="A4" s="1130" t="s">
        <v>1026</v>
      </c>
      <c r="B4" s="964"/>
      <c r="C4" s="964"/>
      <c r="D4" s="964"/>
      <c r="E4" s="964"/>
      <c r="F4" s="964"/>
      <c r="G4" s="964"/>
      <c r="H4" s="964"/>
      <c r="I4" s="964"/>
      <c r="J4" s="964"/>
      <c r="K4" s="964"/>
      <c r="L4" s="964"/>
      <c r="M4" s="964"/>
      <c r="N4" s="964"/>
      <c r="O4" s="964"/>
    </row>
    <row r="5" spans="1:18" s="83" customFormat="1" ht="41.25" customHeight="1">
      <c r="A5" s="1384" t="s">
        <v>1027</v>
      </c>
      <c r="B5" s="1203"/>
      <c r="C5" s="1203"/>
      <c r="D5" s="1203"/>
      <c r="E5" s="1203"/>
      <c r="F5" s="1203"/>
      <c r="G5" s="1203"/>
      <c r="H5" s="1203"/>
      <c r="I5" s="1203"/>
      <c r="J5" s="1203"/>
      <c r="K5" s="1203"/>
      <c r="L5" s="1203"/>
      <c r="M5" s="1203"/>
      <c r="N5" s="1203"/>
      <c r="O5" s="1203"/>
    </row>
    <row r="6" spans="1:18" ht="9" customHeight="1" thickBot="1">
      <c r="A6" s="84"/>
      <c r="B6" s="84"/>
      <c r="C6" s="84"/>
      <c r="D6" s="84"/>
      <c r="E6" s="84"/>
      <c r="F6" s="84"/>
      <c r="G6" s="84"/>
      <c r="H6" s="84"/>
      <c r="I6" s="84"/>
      <c r="J6" s="84"/>
      <c r="K6" s="84"/>
      <c r="L6" s="88"/>
      <c r="M6" s="84"/>
      <c r="N6" s="84"/>
      <c r="O6" s="84"/>
      <c r="P6" s="84"/>
      <c r="Q6" s="84"/>
    </row>
    <row r="7" spans="1:18" s="82" customFormat="1" ht="14.25">
      <c r="B7" s="89"/>
      <c r="C7" s="89"/>
      <c r="D7" s="90"/>
      <c r="E7" s="90"/>
      <c r="F7" s="90"/>
      <c r="G7" s="90"/>
      <c r="H7" s="90"/>
      <c r="I7" s="90"/>
      <c r="J7" s="90"/>
      <c r="K7" s="90"/>
      <c r="L7" s="90"/>
      <c r="M7" s="90"/>
      <c r="N7" s="90"/>
      <c r="O7" s="90"/>
      <c r="P7" s="90"/>
      <c r="Q7" s="90"/>
      <c r="R7" s="90"/>
    </row>
    <row r="8" spans="1:18" s="82" customFormat="1" ht="14.25">
      <c r="F8" s="184"/>
      <c r="G8" s="184"/>
      <c r="H8" s="1385"/>
      <c r="I8" s="1385"/>
      <c r="J8" s="1385"/>
      <c r="K8" s="136"/>
    </row>
    <row r="9" spans="1:18" s="82" customFormat="1">
      <c r="F9" s="184"/>
      <c r="G9" s="184"/>
      <c r="H9" s="92"/>
    </row>
    <row r="10" spans="1:18" s="82" customFormat="1">
      <c r="F10" s="184"/>
      <c r="G10" s="184"/>
      <c r="H10" s="92"/>
      <c r="J10" s="93"/>
      <c r="L10" s="93"/>
    </row>
    <row r="11" spans="1:18" s="82" customFormat="1" ht="12" customHeight="1">
      <c r="F11" s="184"/>
      <c r="G11" s="184"/>
      <c r="H11" s="92"/>
      <c r="I11" s="93"/>
      <c r="J11" s="93"/>
      <c r="L11" s="93"/>
    </row>
    <row r="12" spans="1:18" s="82" customFormat="1" ht="18.75" thickBot="1">
      <c r="A12" s="1386" t="s">
        <v>30</v>
      </c>
      <c r="B12" s="1387"/>
      <c r="C12" s="1387"/>
      <c r="D12" s="1387"/>
      <c r="E12" s="1387"/>
      <c r="F12" s="1387"/>
      <c r="G12" s="1387"/>
      <c r="H12" s="1387"/>
      <c r="I12" s="1387"/>
      <c r="J12" s="1387"/>
      <c r="K12" s="1387"/>
      <c r="L12" s="1387"/>
      <c r="M12" s="1387"/>
      <c r="N12" s="1387"/>
      <c r="O12" s="1387"/>
      <c r="P12" s="1387"/>
      <c r="Q12" s="1387"/>
    </row>
    <row r="13" spans="1:18" s="82" customFormat="1" ht="18" customHeight="1">
      <c r="A13" s="1388" t="s">
        <v>1020</v>
      </c>
      <c r="B13" s="1389"/>
      <c r="C13" s="1389"/>
      <c r="D13" s="1389"/>
      <c r="E13" s="1389"/>
      <c r="F13" s="1389"/>
      <c r="G13" s="1389"/>
      <c r="H13" s="1389"/>
      <c r="I13" s="1389"/>
      <c r="J13" s="1389"/>
      <c r="K13" s="1389"/>
      <c r="L13" s="1389"/>
      <c r="M13" s="1389"/>
      <c r="N13" s="1389"/>
      <c r="O13" s="1389"/>
      <c r="P13" s="1389"/>
      <c r="Q13" s="1390"/>
    </row>
    <row r="14" spans="1:18" s="82" customFormat="1" ht="18" customHeight="1">
      <c r="A14" s="1391" t="s">
        <v>845</v>
      </c>
      <c r="B14" s="1392"/>
      <c r="C14" s="1392"/>
      <c r="D14" s="1392"/>
      <c r="E14" s="1392"/>
      <c r="F14" s="1392"/>
      <c r="G14" s="1392"/>
      <c r="H14" s="1392"/>
      <c r="I14" s="1393">
        <v>600</v>
      </c>
      <c r="J14" s="1393"/>
      <c r="K14" s="1393"/>
      <c r="L14" s="1393"/>
      <c r="M14" s="1393"/>
      <c r="N14" s="1393"/>
      <c r="O14" s="1393"/>
      <c r="P14" s="1393"/>
      <c r="Q14" s="1394"/>
    </row>
    <row r="15" spans="1:18" s="82" customFormat="1" ht="18" customHeight="1" thickBot="1">
      <c r="A15" s="1381" t="s">
        <v>846</v>
      </c>
      <c r="B15" s="1382"/>
      <c r="C15" s="1382"/>
      <c r="D15" s="1382"/>
      <c r="E15" s="1382"/>
      <c r="F15" s="1382"/>
      <c r="G15" s="1382"/>
      <c r="H15" s="1382"/>
      <c r="I15" s="1382"/>
      <c r="J15" s="1382"/>
      <c r="K15" s="1382"/>
      <c r="L15" s="1382"/>
      <c r="M15" s="1382"/>
      <c r="N15" s="1382"/>
      <c r="O15" s="1382"/>
      <c r="P15" s="1382"/>
      <c r="Q15" s="1383"/>
    </row>
    <row r="16" spans="1:18" s="82" customFormat="1" ht="15" thickBot="1">
      <c r="D16" s="105"/>
      <c r="E16" s="105"/>
      <c r="F16" s="104"/>
      <c r="G16" s="104"/>
      <c r="I16" s="119"/>
      <c r="J16" s="119"/>
      <c r="K16" s="119"/>
      <c r="L16" s="119"/>
    </row>
    <row r="17" spans="1:17" s="82" customFormat="1" ht="13.5" thickBot="1">
      <c r="F17" s="1202" t="s">
        <v>43</v>
      </c>
      <c r="G17" s="987"/>
      <c r="H17" s="991" t="s">
        <v>44</v>
      </c>
      <c r="I17" s="992"/>
      <c r="J17" s="992"/>
      <c r="K17" s="992"/>
      <c r="L17" s="992"/>
      <c r="M17" s="992"/>
      <c r="N17" s="992"/>
      <c r="O17" s="992"/>
      <c r="P17" s="992"/>
      <c r="Q17" s="1396"/>
    </row>
    <row r="18" spans="1:17" s="82" customFormat="1" ht="57.75" customHeight="1" thickBot="1">
      <c r="A18" s="188" t="s">
        <v>45</v>
      </c>
      <c r="B18" s="188" t="s">
        <v>46</v>
      </c>
      <c r="C18" s="189" t="s">
        <v>47</v>
      </c>
      <c r="D18" s="189" t="s">
        <v>48</v>
      </c>
      <c r="E18" s="189" t="s">
        <v>49</v>
      </c>
      <c r="F18" s="189" t="s">
        <v>50</v>
      </c>
      <c r="G18" s="188" t="s">
        <v>51</v>
      </c>
      <c r="H18" s="189" t="s">
        <v>53</v>
      </c>
      <c r="I18" s="188" t="s">
        <v>51</v>
      </c>
      <c r="J18" s="189" t="s">
        <v>54</v>
      </c>
      <c r="K18" s="188" t="s">
        <v>51</v>
      </c>
      <c r="L18" s="189" t="s">
        <v>55</v>
      </c>
      <c r="M18" s="188" t="s">
        <v>51</v>
      </c>
      <c r="N18" s="189" t="s">
        <v>847</v>
      </c>
      <c r="O18" s="188" t="s">
        <v>51</v>
      </c>
      <c r="P18" s="189" t="s">
        <v>848</v>
      </c>
      <c r="Q18" s="188" t="s">
        <v>51</v>
      </c>
    </row>
    <row r="19" spans="1:17" s="82" customFormat="1" ht="46.5" customHeight="1" thickBot="1">
      <c r="A19" s="1270">
        <v>48</v>
      </c>
      <c r="B19" s="1271"/>
      <c r="C19" s="192" t="s">
        <v>1028</v>
      </c>
      <c r="D19" s="206" t="s">
        <v>1026</v>
      </c>
      <c r="E19" s="194">
        <v>8395</v>
      </c>
      <c r="F19" s="12">
        <f>SUM(E19:E20)*(1-20%)</f>
        <v>6923.2000000000007</v>
      </c>
      <c r="G19" s="1159">
        <f>F19*B19</f>
        <v>0</v>
      </c>
      <c r="H19" s="12">
        <f>F19*0.03137+I14/12</f>
        <v>267.18078400000002</v>
      </c>
      <c r="I19" s="1159">
        <f>H19*B19</f>
        <v>0</v>
      </c>
      <c r="J19" s="12">
        <f>F19*0.0274+I14/12</f>
        <v>239.69568000000004</v>
      </c>
      <c r="K19" s="1159">
        <f>J19*B19</f>
        <v>0</v>
      </c>
      <c r="L19" s="13">
        <f>F19*0.0228+I14/12</f>
        <v>207.84896000000003</v>
      </c>
      <c r="M19" s="1159">
        <f>L19*B19</f>
        <v>0</v>
      </c>
      <c r="N19" s="13">
        <f>F19*0.0204+I14/12</f>
        <v>191.23328000000004</v>
      </c>
      <c r="O19" s="1159">
        <f>N19*B19</f>
        <v>0</v>
      </c>
      <c r="P19" s="13">
        <f>F19*0.0185+I14/12</f>
        <v>178.07920000000001</v>
      </c>
      <c r="Q19" s="1159">
        <f>P19*B19</f>
        <v>0</v>
      </c>
    </row>
    <row r="20" spans="1:17" s="82" customFormat="1" ht="13.5" thickBot="1">
      <c r="A20" s="1270"/>
      <c r="B20" s="1271"/>
      <c r="C20" s="195" t="s">
        <v>424</v>
      </c>
      <c r="D20" s="199" t="s">
        <v>57</v>
      </c>
      <c r="E20" s="512">
        <v>259</v>
      </c>
      <c r="F20" s="196" t="s">
        <v>35</v>
      </c>
      <c r="G20" s="1397"/>
      <c r="H20" s="197" t="s">
        <v>35</v>
      </c>
      <c r="I20" s="1397"/>
      <c r="J20" s="197" t="s">
        <v>35</v>
      </c>
      <c r="K20" s="1397"/>
      <c r="L20" s="197" t="s">
        <v>35</v>
      </c>
      <c r="M20" s="1397"/>
      <c r="N20" s="197" t="s">
        <v>35</v>
      </c>
      <c r="O20" s="1397"/>
      <c r="P20" s="197" t="s">
        <v>35</v>
      </c>
      <c r="Q20" s="1162"/>
    </row>
    <row r="21" spans="1:17" s="198" customFormat="1" ht="15.75" customHeight="1" thickBot="1">
      <c r="A21" s="1398" t="s">
        <v>59</v>
      </c>
      <c r="B21" s="1399"/>
      <c r="C21" s="1400"/>
      <c r="D21" s="1400"/>
      <c r="E21" s="1400"/>
      <c r="F21" s="1400"/>
      <c r="G21" s="1400"/>
      <c r="H21" s="1400"/>
      <c r="I21" s="1400"/>
      <c r="J21" s="1400"/>
      <c r="K21" s="1400"/>
      <c r="L21" s="1400"/>
      <c r="M21" s="1400"/>
      <c r="N21" s="1400"/>
      <c r="O21" s="1400"/>
      <c r="P21" s="1400"/>
      <c r="Q21" s="1401"/>
    </row>
    <row r="22" spans="1:17" s="120" customFormat="1" ht="15">
      <c r="A22" s="125"/>
      <c r="B22" s="75"/>
      <c r="C22" s="75"/>
      <c r="D22" s="979" t="s">
        <v>65</v>
      </c>
      <c r="E22" s="972"/>
      <c r="F22" s="1395"/>
      <c r="G22" s="6">
        <f>G19</f>
        <v>0</v>
      </c>
      <c r="H22" s="7" t="s">
        <v>67</v>
      </c>
      <c r="I22" s="6">
        <f>I19</f>
        <v>0</v>
      </c>
      <c r="J22" s="7" t="s">
        <v>68</v>
      </c>
      <c r="K22" s="6">
        <f>K19</f>
        <v>0</v>
      </c>
      <c r="L22" s="7" t="s">
        <v>69</v>
      </c>
      <c r="M22" s="6">
        <f>M19</f>
        <v>0</v>
      </c>
      <c r="N22" s="7" t="s">
        <v>860</v>
      </c>
      <c r="O22" s="6">
        <f>O19</f>
        <v>0</v>
      </c>
      <c r="P22" s="7" t="s">
        <v>861</v>
      </c>
      <c r="Q22" s="6">
        <f>Q19</f>
        <v>0</v>
      </c>
    </row>
    <row r="23" spans="1:17" s="120" customFormat="1">
      <c r="A23" s="128"/>
      <c r="B23" s="73"/>
      <c r="C23" s="73"/>
      <c r="D23" s="128"/>
      <c r="E23" s="128"/>
      <c r="F23" s="15"/>
      <c r="G23" s="15"/>
      <c r="H23" s="17"/>
      <c r="I23" s="17"/>
      <c r="J23" s="17"/>
      <c r="K23" s="17"/>
      <c r="L23" s="17"/>
      <c r="M23" s="17"/>
      <c r="N23" s="17"/>
      <c r="O23" s="17"/>
      <c r="P23" s="17"/>
      <c r="Q23" s="17"/>
    </row>
    <row r="24" spans="1:17" s="120" customFormat="1" ht="15.75">
      <c r="A24" s="73"/>
      <c r="B24" s="203"/>
      <c r="C24" s="203"/>
      <c r="D24" s="204"/>
      <c r="E24" s="204"/>
      <c r="F24" s="16"/>
      <c r="G24" s="4"/>
      <c r="H24" s="5"/>
      <c r="I24" s="5"/>
      <c r="J24" s="5"/>
      <c r="K24" s="5"/>
      <c r="L24" s="5"/>
      <c r="M24" s="5"/>
      <c r="N24" s="5"/>
      <c r="O24" s="5"/>
      <c r="P24" s="5"/>
      <c r="Q24" s="5"/>
    </row>
    <row r="25" spans="1:17" s="125" customFormat="1">
      <c r="A25" s="73"/>
      <c r="B25" s="73"/>
      <c r="C25" s="73"/>
      <c r="D25" s="73"/>
      <c r="E25" s="73"/>
      <c r="F25" s="16"/>
      <c r="G25" s="4"/>
      <c r="H25" s="5"/>
      <c r="I25" s="5"/>
      <c r="J25" s="5"/>
      <c r="K25" s="5"/>
      <c r="L25" s="5"/>
      <c r="M25" s="5"/>
      <c r="N25" s="5"/>
      <c r="O25" s="5"/>
      <c r="P25" s="5"/>
      <c r="Q25" s="5"/>
    </row>
    <row r="26" spans="1:17" s="125" customFormat="1">
      <c r="A26" s="73"/>
      <c r="B26" s="73"/>
      <c r="C26" s="73"/>
      <c r="D26" s="73"/>
      <c r="E26" s="73"/>
      <c r="F26" s="4"/>
      <c r="G26" s="4"/>
      <c r="H26" s="5"/>
      <c r="I26" s="5"/>
      <c r="J26" s="5"/>
      <c r="K26" s="5"/>
      <c r="L26" s="5"/>
      <c r="M26" s="5"/>
      <c r="N26" s="5"/>
      <c r="O26" s="5"/>
      <c r="P26" s="5"/>
      <c r="Q26" s="5"/>
    </row>
    <row r="27" spans="1:17" s="205" customFormat="1" hidden="1">
      <c r="A27" s="73"/>
      <c r="B27" s="73"/>
      <c r="C27" s="73"/>
      <c r="D27" s="73"/>
      <c r="E27" s="73"/>
      <c r="F27" s="4"/>
      <c r="G27" s="4"/>
      <c r="H27" s="5"/>
      <c r="I27" s="5"/>
      <c r="J27" s="5"/>
      <c r="K27" s="5"/>
      <c r="L27" s="5"/>
      <c r="M27" s="5"/>
      <c r="N27" s="5"/>
      <c r="O27" s="5"/>
      <c r="P27" s="5"/>
      <c r="Q27" s="5"/>
    </row>
    <row r="28" spans="1:17" s="125" customFormat="1">
      <c r="A28" s="73"/>
      <c r="B28" s="73"/>
      <c r="C28" s="73"/>
      <c r="D28" s="73"/>
      <c r="E28" s="73"/>
      <c r="F28" s="130"/>
      <c r="G28" s="4"/>
      <c r="H28" s="73"/>
      <c r="I28" s="5"/>
      <c r="J28" s="73"/>
      <c r="K28" s="5"/>
      <c r="L28" s="73"/>
      <c r="M28" s="5"/>
      <c r="N28" s="73"/>
      <c r="O28" s="5"/>
      <c r="P28" s="73"/>
      <c r="Q28" s="5"/>
    </row>
    <row r="29" spans="1:17" s="128" customFormat="1">
      <c r="A29" s="73"/>
      <c r="B29" s="73"/>
      <c r="C29" s="73"/>
      <c r="D29" s="73"/>
      <c r="E29" s="73"/>
      <c r="F29" s="130"/>
      <c r="G29" s="130"/>
      <c r="H29" s="73"/>
      <c r="I29" s="73"/>
      <c r="J29" s="73"/>
      <c r="K29" s="73"/>
      <c r="L29" s="73"/>
      <c r="M29" s="73"/>
      <c r="N29" s="73"/>
      <c r="O29" s="73"/>
      <c r="P29" s="73"/>
      <c r="Q29" s="73"/>
    </row>
    <row r="33" spans="2:12">
      <c r="L33" s="481">
        <f>F33*0.0256</f>
        <v>0</v>
      </c>
    </row>
    <row r="42" spans="2:12">
      <c r="B42" s="75"/>
      <c r="C42" s="75"/>
    </row>
  </sheetData>
  <mergeCells count="20">
    <mergeCell ref="A21:Q21"/>
    <mergeCell ref="D22:F22"/>
    <mergeCell ref="A15:Q15"/>
    <mergeCell ref="F17:G17"/>
    <mergeCell ref="H17:Q17"/>
    <mergeCell ref="A19:A20"/>
    <mergeCell ref="B19:B20"/>
    <mergeCell ref="G19:G20"/>
    <mergeCell ref="I19:I20"/>
    <mergeCell ref="K19:K20"/>
    <mergeCell ref="M19:M20"/>
    <mergeCell ref="O19:O20"/>
    <mergeCell ref="A14:H14"/>
    <mergeCell ref="I14:Q14"/>
    <mergeCell ref="Q19:Q20"/>
    <mergeCell ref="A4:O4"/>
    <mergeCell ref="A5:O5"/>
    <mergeCell ref="H8:J8"/>
    <mergeCell ref="A12:Q12"/>
    <mergeCell ref="A13:Q13"/>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8569-3550-40BA-8317-CD87B46C5557}">
  <sheetPr>
    <tabColor indexed="62"/>
  </sheetPr>
  <dimension ref="A1:P102"/>
  <sheetViews>
    <sheetView topLeftCell="D35" zoomScale="96" zoomScaleNormal="96" workbookViewId="0">
      <selection activeCell="E38" sqref="E38:F38"/>
    </sheetView>
  </sheetViews>
  <sheetFormatPr defaultColWidth="8.85546875" defaultRowHeight="12.75"/>
  <cols>
    <col min="1" max="1" width="14.42578125" style="256" customWidth="1"/>
    <col min="2" max="2" width="8.7109375" style="256" customWidth="1"/>
    <col min="3" max="3" width="23.7109375" style="549" customWidth="1"/>
    <col min="4" max="4" width="49.28515625" style="256" customWidth="1"/>
    <col min="5" max="5" width="16.140625" style="256" customWidth="1"/>
    <col min="6" max="6" width="15.42578125" style="333" customWidth="1"/>
    <col min="7" max="7" width="20.5703125" style="333" customWidth="1"/>
    <col min="8" max="8" width="23.42578125" style="256" customWidth="1"/>
    <col min="9" max="9" width="20.5703125" style="256" customWidth="1"/>
    <col min="10" max="10" width="24.28515625" style="256" customWidth="1"/>
    <col min="11" max="11" width="21.140625" style="256" customWidth="1"/>
    <col min="12" max="12" width="23.85546875" style="256" customWidth="1"/>
    <col min="13" max="13" width="21.85546875" style="256" customWidth="1"/>
    <col min="14" max="14" width="23.42578125" style="256" customWidth="1"/>
    <col min="15" max="15" width="21.85546875" style="256" customWidth="1"/>
    <col min="16" max="16384" width="8.85546875" style="256"/>
  </cols>
  <sheetData>
    <row r="1" spans="1:15" s="315" customFormat="1" ht="13.5" thickBot="1">
      <c r="B1" s="632"/>
      <c r="C1" s="632"/>
      <c r="D1" s="258"/>
      <c r="E1" s="258"/>
      <c r="F1" s="259"/>
      <c r="G1" s="259"/>
      <c r="H1" s="259"/>
      <c r="I1" s="259"/>
      <c r="J1" s="259"/>
      <c r="K1" s="258"/>
      <c r="L1" s="259"/>
    </row>
    <row r="2" spans="1:15" s="315" customFormat="1">
      <c r="A2" s="633"/>
      <c r="B2" s="634"/>
      <c r="C2" s="634"/>
      <c r="D2" s="262"/>
      <c r="E2" s="262"/>
      <c r="F2" s="263"/>
      <c r="G2" s="263"/>
      <c r="H2" s="263"/>
      <c r="I2" s="264"/>
      <c r="J2" s="264"/>
      <c r="K2" s="264"/>
      <c r="L2" s="264"/>
      <c r="M2" s="633"/>
      <c r="N2" s="633"/>
      <c r="O2" s="633"/>
    </row>
    <row r="3" spans="1:15" s="315" customFormat="1">
      <c r="B3" s="632"/>
      <c r="C3" s="632"/>
      <c r="D3" s="258"/>
      <c r="E3" s="258"/>
      <c r="F3" s="259"/>
      <c r="G3" s="259"/>
      <c r="H3" s="259"/>
      <c r="I3" s="265"/>
      <c r="J3" s="265"/>
      <c r="K3" s="265"/>
      <c r="L3" s="265"/>
    </row>
    <row r="4" spans="1:15" s="315" customFormat="1" ht="27">
      <c r="A4" s="1112" t="s">
        <v>300</v>
      </c>
      <c r="B4" s="1020"/>
      <c r="C4" s="1020"/>
      <c r="D4" s="1020"/>
      <c r="E4" s="1020"/>
      <c r="F4" s="1020"/>
      <c r="G4" s="1020"/>
      <c r="H4" s="1020"/>
      <c r="I4" s="1020"/>
      <c r="J4" s="1020"/>
      <c r="K4" s="1020"/>
      <c r="L4" s="1020"/>
      <c r="M4" s="1020"/>
      <c r="N4" s="1020"/>
      <c r="O4" s="1020"/>
    </row>
    <row r="5" spans="1:15" ht="56.25" customHeight="1">
      <c r="A5" s="1113" t="s">
        <v>227</v>
      </c>
      <c r="B5" s="1114"/>
      <c r="C5" s="1114"/>
      <c r="D5" s="1114"/>
      <c r="E5" s="1114"/>
      <c r="F5" s="1114"/>
      <c r="G5" s="1114"/>
      <c r="H5" s="1114"/>
      <c r="I5" s="1114"/>
      <c r="J5" s="1114"/>
      <c r="K5" s="1114"/>
      <c r="L5" s="1114"/>
      <c r="M5" s="1114"/>
      <c r="N5" s="1114"/>
      <c r="O5" s="1114"/>
    </row>
    <row r="6" spans="1:15" ht="13.5" thickBot="1">
      <c r="A6" s="267"/>
      <c r="B6" s="267"/>
      <c r="C6" s="267"/>
      <c r="D6" s="267"/>
      <c r="E6" s="267"/>
      <c r="F6" s="267"/>
      <c r="G6" s="267"/>
      <c r="H6" s="267"/>
      <c r="I6" s="267"/>
      <c r="J6" s="267"/>
      <c r="K6" s="267"/>
      <c r="L6" s="267"/>
      <c r="M6" s="267"/>
      <c r="N6" s="267"/>
      <c r="O6" s="267"/>
    </row>
    <row r="7" spans="1:15">
      <c r="B7" s="549"/>
    </row>
    <row r="8" spans="1:15">
      <c r="B8" s="549"/>
    </row>
    <row r="9" spans="1:15" ht="14.25">
      <c r="B9" s="631"/>
      <c r="C9" s="631"/>
      <c r="D9" s="269"/>
      <c r="E9" s="269"/>
      <c r="F9" s="269"/>
      <c r="G9" s="269"/>
      <c r="H9" s="269"/>
      <c r="I9" s="269"/>
      <c r="J9" s="269"/>
      <c r="K9" s="265"/>
      <c r="L9" s="270"/>
      <c r="M9" s="265"/>
      <c r="N9" s="265"/>
    </row>
    <row r="10" spans="1:15" ht="14.25">
      <c r="B10" s="282"/>
      <c r="C10" s="282"/>
      <c r="D10" s="265"/>
      <c r="E10" s="265"/>
      <c r="F10" s="1046" t="s">
        <v>0</v>
      </c>
      <c r="G10" s="1046"/>
      <c r="H10" s="1020"/>
      <c r="I10" s="1020"/>
      <c r="K10" s="265"/>
      <c r="L10" s="270"/>
      <c r="M10" s="273"/>
      <c r="N10" s="265"/>
    </row>
    <row r="11" spans="1:15" ht="14.25">
      <c r="B11" s="282"/>
      <c r="C11" s="282"/>
      <c r="D11" s="265"/>
      <c r="E11" s="265"/>
      <c r="F11" s="265"/>
      <c r="G11" s="270" t="s">
        <v>261</v>
      </c>
      <c r="H11" s="630" t="s">
        <v>262</v>
      </c>
      <c r="I11" s="272"/>
      <c r="J11" s="272"/>
      <c r="K11" s="277"/>
      <c r="L11" s="270"/>
      <c r="M11" s="265"/>
      <c r="N11" s="265"/>
    </row>
    <row r="12" spans="1:15" ht="14.25">
      <c r="B12" s="282"/>
      <c r="C12" s="282"/>
      <c r="D12" s="265"/>
      <c r="E12" s="265"/>
      <c r="F12" s="265"/>
      <c r="G12" s="270" t="s">
        <v>263</v>
      </c>
      <c r="H12" s="630" t="s">
        <v>264</v>
      </c>
      <c r="I12" s="272"/>
      <c r="J12" s="272"/>
      <c r="K12" s="277"/>
      <c r="L12" s="270"/>
      <c r="M12" s="265"/>
      <c r="N12" s="265"/>
    </row>
    <row r="13" spans="1:15">
      <c r="B13" s="282"/>
      <c r="C13" s="282"/>
      <c r="D13" s="265"/>
      <c r="E13" s="265"/>
      <c r="F13" s="265"/>
      <c r="G13" s="270" t="s">
        <v>265</v>
      </c>
      <c r="H13" s="630" t="s">
        <v>266</v>
      </c>
    </row>
    <row r="14" spans="1:15" ht="14.25">
      <c r="B14" s="282"/>
      <c r="C14" s="282"/>
      <c r="D14" s="265"/>
      <c r="E14" s="265"/>
      <c r="F14" s="265"/>
      <c r="G14" s="270" t="s">
        <v>7</v>
      </c>
      <c r="H14" s="265" t="s">
        <v>301</v>
      </c>
      <c r="I14" s="272"/>
      <c r="J14" s="272"/>
      <c r="K14" s="272"/>
      <c r="L14" s="272"/>
    </row>
    <row r="15" spans="1:15" ht="14.25">
      <c r="B15" s="282"/>
      <c r="C15" s="282"/>
      <c r="D15" s="265"/>
      <c r="E15" s="265"/>
      <c r="F15" s="265"/>
      <c r="G15" s="270" t="s">
        <v>8</v>
      </c>
      <c r="H15" s="265" t="s">
        <v>302</v>
      </c>
      <c r="I15" s="272"/>
      <c r="J15" s="272"/>
      <c r="K15" s="272"/>
      <c r="L15" s="272"/>
    </row>
    <row r="16" spans="1:15" ht="14.25">
      <c r="B16" s="282"/>
      <c r="C16" s="282"/>
      <c r="D16" s="265"/>
      <c r="E16" s="265"/>
      <c r="F16" s="265"/>
      <c r="G16" s="270" t="s">
        <v>10</v>
      </c>
      <c r="H16" s="265" t="s">
        <v>269</v>
      </c>
      <c r="I16" s="272"/>
      <c r="J16" s="272"/>
      <c r="K16" s="272"/>
      <c r="L16" s="272"/>
    </row>
    <row r="17" spans="1:15" ht="14.25">
      <c r="B17" s="282"/>
      <c r="C17" s="282"/>
      <c r="D17" s="265"/>
      <c r="E17" s="265"/>
      <c r="F17" s="265"/>
      <c r="G17" s="270" t="s">
        <v>185</v>
      </c>
      <c r="H17" s="265" t="s">
        <v>303</v>
      </c>
      <c r="I17" s="272"/>
      <c r="J17" s="272"/>
      <c r="K17" s="272"/>
      <c r="L17" s="272"/>
    </row>
    <row r="18" spans="1:15" ht="14.25">
      <c r="B18" s="282"/>
      <c r="C18" s="282"/>
      <c r="D18" s="265"/>
      <c r="E18" s="265"/>
      <c r="F18" s="265"/>
      <c r="G18" s="270"/>
      <c r="H18" s="265" t="s">
        <v>304</v>
      </c>
      <c r="I18" s="272"/>
      <c r="J18" s="272"/>
      <c r="K18" s="272"/>
      <c r="L18" s="272"/>
    </row>
    <row r="19" spans="1:15" ht="14.25">
      <c r="B19" s="282"/>
      <c r="C19" s="282"/>
      <c r="D19" s="265"/>
      <c r="E19" s="265"/>
      <c r="F19" s="265"/>
      <c r="G19" s="270" t="s">
        <v>14</v>
      </c>
      <c r="H19" s="265" t="s">
        <v>272</v>
      </c>
      <c r="I19" s="275"/>
      <c r="J19" s="275"/>
      <c r="K19" s="275"/>
      <c r="L19" s="275"/>
    </row>
    <row r="20" spans="1:15" ht="14.25">
      <c r="B20" s="282"/>
      <c r="C20" s="282"/>
      <c r="D20" s="265"/>
      <c r="E20" s="265"/>
      <c r="F20" s="265"/>
      <c r="G20" s="270" t="s">
        <v>18</v>
      </c>
      <c r="H20" s="265" t="s">
        <v>273</v>
      </c>
      <c r="I20" s="275"/>
      <c r="J20" s="275"/>
      <c r="K20" s="275"/>
      <c r="L20" s="275"/>
    </row>
    <row r="21" spans="1:15" ht="14.25">
      <c r="B21" s="282"/>
      <c r="C21" s="282"/>
      <c r="D21" s="265"/>
      <c r="E21" s="265"/>
      <c r="F21" s="265"/>
      <c r="G21" s="270" t="s">
        <v>274</v>
      </c>
      <c r="H21" s="630" t="s">
        <v>275</v>
      </c>
      <c r="I21" s="275"/>
      <c r="J21" s="275"/>
      <c r="K21" s="275"/>
      <c r="L21" s="275"/>
    </row>
    <row r="22" spans="1:15" ht="14.25">
      <c r="B22" s="282"/>
      <c r="C22" s="282"/>
      <c r="D22" s="265"/>
      <c r="E22" s="265"/>
      <c r="F22" s="265"/>
      <c r="G22" s="270" t="s">
        <v>276</v>
      </c>
      <c r="H22" s="630" t="s">
        <v>277</v>
      </c>
      <c r="I22" s="275"/>
      <c r="J22" s="275"/>
      <c r="K22" s="275"/>
      <c r="L22" s="275"/>
    </row>
    <row r="23" spans="1:15" ht="14.25">
      <c r="B23" s="282"/>
      <c r="C23" s="282"/>
      <c r="D23" s="265"/>
      <c r="E23" s="265"/>
      <c r="F23" s="265"/>
      <c r="G23" s="270" t="s">
        <v>26</v>
      </c>
      <c r="H23" s="630" t="s">
        <v>278</v>
      </c>
      <c r="I23" s="275"/>
      <c r="J23" s="275"/>
      <c r="K23" s="275"/>
      <c r="L23" s="275"/>
    </row>
    <row r="24" spans="1:15" ht="13.5" customHeight="1">
      <c r="B24" s="282"/>
      <c r="C24" s="282"/>
      <c r="D24" s="265"/>
      <c r="E24" s="265"/>
      <c r="F24" s="265"/>
      <c r="G24" s="270" t="s">
        <v>28</v>
      </c>
      <c r="H24" s="278" t="s">
        <v>279</v>
      </c>
      <c r="I24" s="275"/>
      <c r="J24" s="275"/>
      <c r="K24" s="275"/>
      <c r="L24" s="275"/>
    </row>
    <row r="25" spans="1:15" s="265" customFormat="1" ht="15" thickBot="1">
      <c r="A25" s="1111" t="s">
        <v>30</v>
      </c>
      <c r="B25" s="1033"/>
      <c r="C25" s="1033"/>
      <c r="D25" s="1033"/>
      <c r="E25" s="1033"/>
      <c r="F25" s="1033"/>
      <c r="G25" s="1033"/>
      <c r="H25" s="1033"/>
      <c r="I25" s="1033"/>
      <c r="J25" s="1033"/>
      <c r="K25" s="1033"/>
      <c r="L25" s="1033"/>
      <c r="M25" s="1033"/>
      <c r="N25" s="1033"/>
      <c r="O25" s="1033"/>
    </row>
    <row r="26" spans="1:15" s="265" customFormat="1" ht="14.25">
      <c r="A26" s="1105" t="s">
        <v>280</v>
      </c>
      <c r="B26" s="1106"/>
      <c r="C26" s="1106"/>
      <c r="D26" s="1107"/>
      <c r="E26" s="1108" t="s">
        <v>281</v>
      </c>
      <c r="F26" s="1010"/>
      <c r="G26" s="1010"/>
      <c r="H26" s="1010"/>
      <c r="I26" s="1010"/>
      <c r="J26" s="1010"/>
      <c r="K26" s="1109"/>
      <c r="L26" s="1105" t="s">
        <v>282</v>
      </c>
      <c r="M26" s="1010"/>
      <c r="N26" s="1010"/>
      <c r="O26" s="1109"/>
    </row>
    <row r="27" spans="1:15" s="265" customFormat="1" ht="12.75" customHeight="1">
      <c r="A27" s="1028" t="s">
        <v>33</v>
      </c>
      <c r="B27" s="1029"/>
      <c r="C27" s="1029"/>
      <c r="D27" s="279" t="s">
        <v>34</v>
      </c>
      <c r="E27" s="1028" t="s">
        <v>33</v>
      </c>
      <c r="F27" s="1020"/>
      <c r="G27" s="1020"/>
      <c r="H27" s="1020"/>
      <c r="I27" s="1093" t="s">
        <v>35</v>
      </c>
      <c r="J27" s="1115"/>
      <c r="K27" s="1094"/>
      <c r="L27" s="1028" t="s">
        <v>33</v>
      </c>
      <c r="M27" s="1020"/>
      <c r="N27" s="1095" t="s">
        <v>35</v>
      </c>
      <c r="O27" s="1096"/>
    </row>
    <row r="28" spans="1:15" s="265" customFormat="1" ht="12.75" customHeight="1">
      <c r="A28" s="1028" t="s">
        <v>199</v>
      </c>
      <c r="B28" s="1029"/>
      <c r="C28" s="1029"/>
      <c r="D28" s="280">
        <v>0</v>
      </c>
      <c r="E28" s="1028" t="s">
        <v>199</v>
      </c>
      <c r="F28" s="1020"/>
      <c r="G28" s="1020"/>
      <c r="H28" s="1020"/>
      <c r="I28" s="1102">
        <v>450</v>
      </c>
      <c r="J28" s="1115"/>
      <c r="K28" s="1094"/>
      <c r="L28" s="1028" t="s">
        <v>199</v>
      </c>
      <c r="M28" s="1020"/>
      <c r="N28" s="1103">
        <v>675</v>
      </c>
      <c r="O28" s="1104"/>
    </row>
    <row r="29" spans="1:15" s="265" customFormat="1" ht="12.75" customHeight="1">
      <c r="A29" s="1028" t="s">
        <v>37</v>
      </c>
      <c r="B29" s="1029"/>
      <c r="C29" s="1029"/>
      <c r="D29" s="279" t="s">
        <v>38</v>
      </c>
      <c r="E29" s="1028" t="s">
        <v>37</v>
      </c>
      <c r="F29" s="1020"/>
      <c r="G29" s="1020"/>
      <c r="H29" s="1020"/>
      <c r="I29" s="1093" t="s">
        <v>200</v>
      </c>
      <c r="J29" s="1115"/>
      <c r="K29" s="1094"/>
      <c r="L29" s="1028" t="s">
        <v>37</v>
      </c>
      <c r="M29" s="1020"/>
      <c r="N29" s="1095" t="s">
        <v>201</v>
      </c>
      <c r="O29" s="1096"/>
    </row>
    <row r="30" spans="1:15" s="265" customFormat="1" ht="12.75" customHeight="1">
      <c r="A30" s="1028" t="s">
        <v>202</v>
      </c>
      <c r="B30" s="1029"/>
      <c r="C30" s="1029"/>
      <c r="D30" s="279" t="s">
        <v>283</v>
      </c>
      <c r="E30" s="1028" t="s">
        <v>204</v>
      </c>
      <c r="F30" s="1029"/>
      <c r="G30" s="1029"/>
      <c r="H30" s="1029"/>
      <c r="I30" s="1093" t="s">
        <v>284</v>
      </c>
      <c r="J30" s="1093"/>
      <c r="K30" s="1117"/>
      <c r="L30" s="1028" t="s">
        <v>40</v>
      </c>
      <c r="M30" s="1029"/>
      <c r="N30" s="1095" t="s">
        <v>284</v>
      </c>
      <c r="O30" s="1096"/>
    </row>
    <row r="31" spans="1:15" s="265" customFormat="1" ht="12.75" customHeight="1" thickBot="1">
      <c r="A31" s="1031" t="s">
        <v>285</v>
      </c>
      <c r="B31" s="1032"/>
      <c r="C31" s="1032"/>
      <c r="D31" s="281" t="s">
        <v>286</v>
      </c>
      <c r="E31" s="1031" t="s">
        <v>285</v>
      </c>
      <c r="F31" s="1032"/>
      <c r="G31" s="1032"/>
      <c r="H31" s="1032"/>
      <c r="I31" s="1097" t="s">
        <v>287</v>
      </c>
      <c r="J31" s="1097"/>
      <c r="K31" s="1116"/>
      <c r="L31" s="1031" t="s">
        <v>285</v>
      </c>
      <c r="M31" s="1032"/>
      <c r="N31" s="1033" t="s">
        <v>287</v>
      </c>
      <c r="O31" s="1034"/>
    </row>
    <row r="32" spans="1:15" ht="14.25">
      <c r="B32" s="282"/>
      <c r="C32" s="282"/>
      <c r="D32" s="277"/>
      <c r="E32" s="277"/>
      <c r="F32" s="265"/>
      <c r="G32" s="265"/>
      <c r="H32" s="270"/>
      <c r="I32" s="265"/>
      <c r="J32" s="265"/>
      <c r="K32" s="275"/>
      <c r="L32" s="265"/>
    </row>
    <row r="33" spans="1:15" s="265" customFormat="1" ht="12.75" customHeight="1">
      <c r="D33" s="277"/>
      <c r="E33" s="277"/>
      <c r="F33" s="1019"/>
      <c r="G33" s="1020"/>
      <c r="H33" s="1020"/>
      <c r="I33" s="1020"/>
      <c r="J33" s="1020"/>
      <c r="K33" s="558"/>
      <c r="L33" s="558"/>
      <c r="M33" s="270"/>
    </row>
    <row r="34" spans="1:15" s="265" customFormat="1" ht="12.75" customHeight="1">
      <c r="D34" s="277"/>
      <c r="E34" s="277"/>
      <c r="F34" s="1019"/>
      <c r="G34" s="1020"/>
      <c r="H34" s="1020"/>
      <c r="I34" s="1020"/>
      <c r="J34" s="1020"/>
      <c r="K34" s="558"/>
      <c r="L34" s="558"/>
      <c r="M34" s="270"/>
    </row>
    <row r="35" spans="1:15" ht="15" thickBot="1">
      <c r="B35" s="282"/>
      <c r="C35" s="282"/>
      <c r="D35" s="265"/>
      <c r="E35" s="265"/>
      <c r="F35" s="446"/>
      <c r="G35" s="446"/>
      <c r="H35" s="270"/>
      <c r="I35" s="265"/>
      <c r="J35" s="265"/>
      <c r="K35" s="275"/>
      <c r="L35" s="265"/>
    </row>
    <row r="36" spans="1:15" ht="13.5" thickBot="1">
      <c r="B36" s="282"/>
      <c r="C36" s="282"/>
      <c r="D36" s="265"/>
      <c r="E36" s="265"/>
      <c r="F36" s="1063" t="s">
        <v>43</v>
      </c>
      <c r="G36" s="1022"/>
      <c r="H36" s="1023" t="s">
        <v>44</v>
      </c>
      <c r="I36" s="1024"/>
      <c r="J36" s="1101"/>
      <c r="K36" s="1003"/>
      <c r="L36" s="1003"/>
      <c r="M36" s="1003"/>
      <c r="N36" s="1003"/>
      <c r="O36" s="1025"/>
    </row>
    <row r="37" spans="1:15" ht="58.5" customHeight="1" thickBot="1">
      <c r="A37" s="289" t="s">
        <v>45</v>
      </c>
      <c r="B37" s="289" t="s">
        <v>46</v>
      </c>
      <c r="C37" s="629" t="s">
        <v>47</v>
      </c>
      <c r="D37" s="290" t="s">
        <v>48</v>
      </c>
      <c r="E37" s="290" t="s">
        <v>49</v>
      </c>
      <c r="F37" s="290" t="s">
        <v>50</v>
      </c>
      <c r="G37" s="289" t="s">
        <v>51</v>
      </c>
      <c r="H37" s="290" t="s">
        <v>52</v>
      </c>
      <c r="I37" s="289" t="s">
        <v>51</v>
      </c>
      <c r="J37" s="628" t="s">
        <v>53</v>
      </c>
      <c r="K37" s="289" t="s">
        <v>51</v>
      </c>
      <c r="L37" s="290" t="s">
        <v>54</v>
      </c>
      <c r="M37" s="289" t="s">
        <v>51</v>
      </c>
      <c r="N37" s="290" t="s">
        <v>55</v>
      </c>
      <c r="O37" s="289" t="s">
        <v>51</v>
      </c>
    </row>
    <row r="38" spans="1:15" s="266" customFormat="1" ht="13.5" thickBot="1">
      <c r="A38" s="1014">
        <v>11</v>
      </c>
      <c r="B38" s="1118"/>
      <c r="C38" s="385" t="s">
        <v>305</v>
      </c>
      <c r="D38" s="386" t="s">
        <v>306</v>
      </c>
      <c r="E38" s="387">
        <v>16709.12</v>
      </c>
      <c r="F38" s="510">
        <f>SUM(E38,E39,E40)*(1-75%)</f>
        <v>4266.53</v>
      </c>
      <c r="G38" s="1011">
        <f>F38*B38</f>
        <v>0</v>
      </c>
      <c r="H38" s="616">
        <f>F38*0.0845</f>
        <v>360.52178500000002</v>
      </c>
      <c r="I38" s="1011">
        <f>H38*B38</f>
        <v>0</v>
      </c>
      <c r="J38" s="615">
        <f>F38*0.032</f>
        <v>136.52895999999998</v>
      </c>
      <c r="K38" s="1123">
        <f>J38*B38</f>
        <v>0</v>
      </c>
      <c r="L38" s="30">
        <f>F38*0.0263</f>
        <v>112.209739</v>
      </c>
      <c r="M38" s="1011">
        <f>L38*B38</f>
        <v>0</v>
      </c>
      <c r="N38" s="30">
        <f>F38*0.0219</f>
        <v>93.437006999999994</v>
      </c>
      <c r="O38" s="1011">
        <f>N38*B38</f>
        <v>0</v>
      </c>
    </row>
    <row r="39" spans="1:15" ht="15" thickBot="1">
      <c r="A39" s="1015"/>
      <c r="B39" s="1119"/>
      <c r="C39" s="614" t="s">
        <v>307</v>
      </c>
      <c r="D39" s="613" t="s">
        <v>240</v>
      </c>
      <c r="E39" s="612">
        <v>282</v>
      </c>
      <c r="F39" s="300" t="s">
        <v>35</v>
      </c>
      <c r="G39" s="1121"/>
      <c r="H39" s="300" t="s">
        <v>35</v>
      </c>
      <c r="I39" s="1121"/>
      <c r="J39" s="627" t="s">
        <v>35</v>
      </c>
      <c r="K39" s="1124"/>
      <c r="L39" s="32" t="s">
        <v>35</v>
      </c>
      <c r="M39" s="1084"/>
      <c r="N39" s="301" t="s">
        <v>35</v>
      </c>
      <c r="O39" s="1084"/>
    </row>
    <row r="40" spans="1:15" ht="13.5" thickBot="1">
      <c r="A40" s="1016"/>
      <c r="B40" s="1017"/>
      <c r="C40" s="544" t="s">
        <v>56</v>
      </c>
      <c r="D40" s="575" t="s">
        <v>57</v>
      </c>
      <c r="E40" s="610">
        <v>75</v>
      </c>
      <c r="F40" s="300" t="s">
        <v>35</v>
      </c>
      <c r="G40" s="1122"/>
      <c r="H40" s="31" t="s">
        <v>35</v>
      </c>
      <c r="I40" s="1122"/>
      <c r="J40" s="611" t="s">
        <v>35</v>
      </c>
      <c r="K40" s="1124"/>
      <c r="L40" s="32" t="s">
        <v>35</v>
      </c>
      <c r="M40" s="1084"/>
      <c r="N40" s="32" t="s">
        <v>35</v>
      </c>
      <c r="O40" s="1120"/>
    </row>
    <row r="41" spans="1:15" ht="13.5" thickBot="1">
      <c r="A41" s="626"/>
      <c r="B41" s="308"/>
      <c r="C41" s="545"/>
      <c r="D41" s="537"/>
      <c r="E41" s="625"/>
      <c r="F41" s="312"/>
      <c r="G41" s="635"/>
      <c r="H41" s="312"/>
      <c r="I41" s="635"/>
      <c r="J41" s="312"/>
      <c r="K41" s="636"/>
      <c r="L41" s="637"/>
      <c r="M41" s="638"/>
      <c r="N41" s="638"/>
      <c r="O41" s="639"/>
    </row>
    <row r="42" spans="1:15" s="266" customFormat="1" ht="13.5" thickBot="1">
      <c r="A42" s="1014" t="s">
        <v>290</v>
      </c>
      <c r="B42" s="1118"/>
      <c r="C42" s="385" t="s">
        <v>305</v>
      </c>
      <c r="D42" s="386" t="s">
        <v>306</v>
      </c>
      <c r="E42" s="387">
        <v>16709.12</v>
      </c>
      <c r="F42" s="510">
        <f>SUM(E42,E43,E44)*(1-75%)</f>
        <v>4266.53</v>
      </c>
      <c r="G42" s="1011">
        <f>F42*B42</f>
        <v>0</v>
      </c>
      <c r="H42" s="616">
        <f>F42*0.0845+I28/12</f>
        <v>398.02178500000002</v>
      </c>
      <c r="I42" s="1011">
        <f>H42*B42</f>
        <v>0</v>
      </c>
      <c r="J42" s="615">
        <f>F42*0.032+I28/12</f>
        <v>174.02895999999998</v>
      </c>
      <c r="K42" s="1123">
        <f>J42*B42</f>
        <v>0</v>
      </c>
      <c r="L42" s="30">
        <f>F42*0.0263+I28/12</f>
        <v>149.70973900000001</v>
      </c>
      <c r="M42" s="1011">
        <f>L42*B42</f>
        <v>0</v>
      </c>
      <c r="N42" s="30">
        <f>F42*0.0219+I28/12</f>
        <v>130.93700699999999</v>
      </c>
      <c r="O42" s="1011">
        <f>N42*B42</f>
        <v>0</v>
      </c>
    </row>
    <row r="43" spans="1:15" ht="15" thickBot="1">
      <c r="A43" s="1015"/>
      <c r="B43" s="1119"/>
      <c r="C43" s="614" t="s">
        <v>307</v>
      </c>
      <c r="D43" s="613" t="s">
        <v>240</v>
      </c>
      <c r="E43" s="612">
        <v>282</v>
      </c>
      <c r="F43" s="300" t="s">
        <v>35</v>
      </c>
      <c r="G43" s="1121"/>
      <c r="H43" s="31" t="s">
        <v>35</v>
      </c>
      <c r="I43" s="1121"/>
      <c r="J43" s="611" t="s">
        <v>35</v>
      </c>
      <c r="K43" s="1124"/>
      <c r="L43" s="32" t="s">
        <v>35</v>
      </c>
      <c r="M43" s="1084"/>
      <c r="N43" s="32" t="s">
        <v>35</v>
      </c>
      <c r="O43" s="1084"/>
    </row>
    <row r="44" spans="1:15" ht="13.5" thickBot="1">
      <c r="A44" s="1016"/>
      <c r="B44" s="1017"/>
      <c r="C44" s="544" t="s">
        <v>56</v>
      </c>
      <c r="D44" s="575" t="s">
        <v>57</v>
      </c>
      <c r="E44" s="610">
        <v>75</v>
      </c>
      <c r="F44" s="31" t="s">
        <v>35</v>
      </c>
      <c r="G44" s="1122"/>
      <c r="H44" s="31" t="s">
        <v>35</v>
      </c>
      <c r="I44" s="1122"/>
      <c r="J44" s="611" t="s">
        <v>35</v>
      </c>
      <c r="K44" s="1124"/>
      <c r="L44" s="32" t="s">
        <v>35</v>
      </c>
      <c r="M44" s="1084"/>
      <c r="N44" s="32" t="s">
        <v>35</v>
      </c>
      <c r="O44" s="1120"/>
    </row>
    <row r="45" spans="1:15" ht="13.5" thickBot="1">
      <c r="A45" s="626"/>
      <c r="B45" s="308"/>
      <c r="C45" s="545"/>
      <c r="D45" s="537"/>
      <c r="E45" s="625"/>
      <c r="F45" s="33"/>
      <c r="G45" s="624"/>
      <c r="H45" s="33"/>
      <c r="I45" s="624"/>
      <c r="J45" s="33"/>
      <c r="K45" s="623"/>
      <c r="L45" s="622"/>
      <c r="M45" s="621"/>
      <c r="N45" s="621"/>
      <c r="O45" s="620"/>
    </row>
    <row r="46" spans="1:15" s="266" customFormat="1" ht="13.5" thickBot="1">
      <c r="A46" s="1014" t="s">
        <v>291</v>
      </c>
      <c r="B46" s="1118"/>
      <c r="C46" s="385" t="s">
        <v>305</v>
      </c>
      <c r="D46" s="386" t="s">
        <v>306</v>
      </c>
      <c r="E46" s="387">
        <v>16709.12</v>
      </c>
      <c r="F46" s="510">
        <f>SUM(E46,E47,E48)*(1-75%)</f>
        <v>4266.53</v>
      </c>
      <c r="G46" s="1011">
        <f>F46*B46</f>
        <v>0</v>
      </c>
      <c r="H46" s="616">
        <f>F46*0.0845+N28/12</f>
        <v>416.77178500000002</v>
      </c>
      <c r="I46" s="1011">
        <f>H46*B46</f>
        <v>0</v>
      </c>
      <c r="J46" s="615">
        <f>F46*0.032+N28/12</f>
        <v>192.77895999999998</v>
      </c>
      <c r="K46" s="1123">
        <f>J46*B46</f>
        <v>0</v>
      </c>
      <c r="L46" s="30">
        <f>F46*0.0263+N28/12</f>
        <v>168.45973900000001</v>
      </c>
      <c r="M46" s="1011">
        <f>L46*B46</f>
        <v>0</v>
      </c>
      <c r="N46" s="30">
        <f>F46*0.0219+N28/12</f>
        <v>149.68700699999999</v>
      </c>
      <c r="O46" s="1011">
        <f>N46*B46</f>
        <v>0</v>
      </c>
    </row>
    <row r="47" spans="1:15" ht="15" thickBot="1">
      <c r="A47" s="1015"/>
      <c r="B47" s="1119"/>
      <c r="C47" s="614" t="s">
        <v>307</v>
      </c>
      <c r="D47" s="613" t="s">
        <v>240</v>
      </c>
      <c r="E47" s="612">
        <v>282</v>
      </c>
      <c r="F47" s="31" t="s">
        <v>35</v>
      </c>
      <c r="G47" s="1121"/>
      <c r="H47" s="31" t="s">
        <v>35</v>
      </c>
      <c r="I47" s="1121"/>
      <c r="J47" s="611" t="s">
        <v>35</v>
      </c>
      <c r="K47" s="1124"/>
      <c r="L47" s="32" t="s">
        <v>35</v>
      </c>
      <c r="M47" s="1084"/>
      <c r="N47" s="32" t="s">
        <v>35</v>
      </c>
      <c r="O47" s="1084"/>
    </row>
    <row r="48" spans="1:15" ht="13.5" thickBot="1">
      <c r="A48" s="1015"/>
      <c r="B48" s="1119"/>
      <c r="C48" s="544" t="s">
        <v>56</v>
      </c>
      <c r="D48" s="575" t="s">
        <v>57</v>
      </c>
      <c r="E48" s="610">
        <v>75</v>
      </c>
      <c r="F48" s="31" t="s">
        <v>35</v>
      </c>
      <c r="G48" s="1121"/>
      <c r="H48" s="37" t="s">
        <v>35</v>
      </c>
      <c r="I48" s="1121"/>
      <c r="J48" s="609" t="s">
        <v>35</v>
      </c>
      <c r="K48" s="1128"/>
      <c r="L48" s="608" t="s">
        <v>35</v>
      </c>
      <c r="M48" s="1084"/>
      <c r="N48" s="608" t="s">
        <v>35</v>
      </c>
      <c r="O48" s="1120"/>
    </row>
    <row r="49" spans="1:16" ht="13.5" customHeight="1" thickBot="1">
      <c r="A49" s="1129" t="s">
        <v>59</v>
      </c>
      <c r="B49" s="1003"/>
      <c r="C49" s="1003"/>
      <c r="D49" s="1003"/>
      <c r="E49" s="1003"/>
      <c r="F49" s="1003"/>
      <c r="G49" s="1004"/>
      <c r="H49" s="1003"/>
      <c r="I49" s="1004"/>
      <c r="J49" s="1003"/>
      <c r="K49" s="1004"/>
      <c r="L49" s="1003"/>
      <c r="M49" s="1004"/>
      <c r="N49" s="1003"/>
      <c r="O49" s="1005"/>
    </row>
    <row r="50" spans="1:16" s="641" customFormat="1" ht="13.5" thickBot="1">
      <c r="A50" s="1163"/>
      <c r="B50" s="318"/>
      <c r="C50" s="604" t="s">
        <v>103</v>
      </c>
      <c r="D50" s="607" t="s">
        <v>104</v>
      </c>
      <c r="E50" s="603">
        <v>129.99</v>
      </c>
      <c r="F50" s="602">
        <f t="shared" ref="F50:F101" si="0">E50*(1-40%)</f>
        <v>77.994</v>
      </c>
      <c r="G50" s="599">
        <f t="shared" ref="G50:G101" si="1">F50*B50</f>
        <v>0</v>
      </c>
      <c r="H50" s="39">
        <f t="shared" ref="H50:H77" si="2">F50*0.0845</f>
        <v>6.5904930000000004</v>
      </c>
      <c r="I50" s="599">
        <f t="shared" ref="I50:I101" si="3">H50*B50</f>
        <v>0</v>
      </c>
      <c r="J50" s="600">
        <f t="shared" ref="J50:J77" si="4">F50*0.032</f>
        <v>2.4958080000000002</v>
      </c>
      <c r="K50" s="599">
        <f t="shared" ref="K50:K101" si="5">J50*B50</f>
        <v>0</v>
      </c>
      <c r="L50" s="39">
        <f t="shared" ref="L50:L77" si="6">F50*0.0263</f>
        <v>2.0512421999999999</v>
      </c>
      <c r="M50" s="599">
        <f t="shared" ref="M50:M101" si="7">L50*B50</f>
        <v>0</v>
      </c>
      <c r="N50" s="600">
        <f t="shared" ref="N50:N77" si="8">F50*0.0219</f>
        <v>1.7080686</v>
      </c>
      <c r="O50" s="599">
        <f t="shared" ref="O50:O101" si="9">N50*B50</f>
        <v>0</v>
      </c>
      <c r="P50" s="640"/>
    </row>
    <row r="51" spans="1:16" ht="13.5" thickBot="1">
      <c r="A51" s="1164"/>
      <c r="B51" s="318"/>
      <c r="C51" s="297" t="s">
        <v>105</v>
      </c>
      <c r="D51" s="605" t="s">
        <v>325</v>
      </c>
      <c r="E51" s="603">
        <v>399</v>
      </c>
      <c r="F51" s="602">
        <f t="shared" si="0"/>
        <v>239.39999999999998</v>
      </c>
      <c r="G51" s="601">
        <f t="shared" si="1"/>
        <v>0</v>
      </c>
      <c r="H51" s="39">
        <f t="shared" si="2"/>
        <v>20.229299999999999</v>
      </c>
      <c r="I51" s="599">
        <f t="shared" si="3"/>
        <v>0</v>
      </c>
      <c r="J51" s="600">
        <f t="shared" si="4"/>
        <v>7.6607999999999992</v>
      </c>
      <c r="K51" s="599">
        <f t="shared" si="5"/>
        <v>0</v>
      </c>
      <c r="L51" s="39">
        <f t="shared" si="6"/>
        <v>6.2962199999999999</v>
      </c>
      <c r="M51" s="599">
        <f t="shared" si="7"/>
        <v>0</v>
      </c>
      <c r="N51" s="600">
        <f t="shared" si="8"/>
        <v>5.2428599999999994</v>
      </c>
      <c r="O51" s="599">
        <f t="shared" si="9"/>
        <v>0</v>
      </c>
      <c r="P51" s="640"/>
    </row>
    <row r="52" spans="1:16" ht="13.5" thickBot="1">
      <c r="A52" s="1164"/>
      <c r="B52" s="319"/>
      <c r="C52" s="604" t="s">
        <v>107</v>
      </c>
      <c r="D52" s="605" t="s">
        <v>108</v>
      </c>
      <c r="E52" s="603">
        <v>250</v>
      </c>
      <c r="F52" s="602">
        <f t="shared" si="0"/>
        <v>150</v>
      </c>
      <c r="G52" s="601">
        <f t="shared" si="1"/>
        <v>0</v>
      </c>
      <c r="H52" s="39">
        <f t="shared" si="2"/>
        <v>12.675000000000001</v>
      </c>
      <c r="I52" s="599">
        <f t="shared" si="3"/>
        <v>0</v>
      </c>
      <c r="J52" s="600">
        <f t="shared" si="4"/>
        <v>4.8</v>
      </c>
      <c r="K52" s="599">
        <f t="shared" si="5"/>
        <v>0</v>
      </c>
      <c r="L52" s="39">
        <f t="shared" si="6"/>
        <v>3.9450000000000003</v>
      </c>
      <c r="M52" s="599">
        <f t="shared" si="7"/>
        <v>0</v>
      </c>
      <c r="N52" s="600">
        <f t="shared" si="8"/>
        <v>3.2849999999999997</v>
      </c>
      <c r="O52" s="599">
        <f t="shared" si="9"/>
        <v>0</v>
      </c>
      <c r="P52" s="640"/>
    </row>
    <row r="53" spans="1:16" ht="13.5" thickBot="1">
      <c r="A53" s="1164"/>
      <c r="B53" s="319"/>
      <c r="C53" s="297" t="s">
        <v>109</v>
      </c>
      <c r="D53" s="605" t="s">
        <v>110</v>
      </c>
      <c r="E53" s="603">
        <v>400</v>
      </c>
      <c r="F53" s="602">
        <f t="shared" si="0"/>
        <v>240</v>
      </c>
      <c r="G53" s="601">
        <f t="shared" si="1"/>
        <v>0</v>
      </c>
      <c r="H53" s="39">
        <f t="shared" si="2"/>
        <v>20.28</v>
      </c>
      <c r="I53" s="599">
        <f t="shared" si="3"/>
        <v>0</v>
      </c>
      <c r="J53" s="600">
        <f t="shared" si="4"/>
        <v>7.68</v>
      </c>
      <c r="K53" s="599">
        <f t="shared" si="5"/>
        <v>0</v>
      </c>
      <c r="L53" s="39">
        <f t="shared" si="6"/>
        <v>6.3120000000000003</v>
      </c>
      <c r="M53" s="599">
        <f t="shared" si="7"/>
        <v>0</v>
      </c>
      <c r="N53" s="600">
        <f t="shared" si="8"/>
        <v>5.2560000000000002</v>
      </c>
      <c r="O53" s="599">
        <f t="shared" si="9"/>
        <v>0</v>
      </c>
      <c r="P53" s="640"/>
    </row>
    <row r="54" spans="1:16" ht="13.5" thickBot="1">
      <c r="A54" s="1164"/>
      <c r="B54" s="318"/>
      <c r="C54" s="604" t="s">
        <v>111</v>
      </c>
      <c r="D54" s="607" t="s">
        <v>112</v>
      </c>
      <c r="E54" s="603">
        <v>499</v>
      </c>
      <c r="F54" s="602">
        <f t="shared" si="0"/>
        <v>299.39999999999998</v>
      </c>
      <c r="G54" s="599">
        <f t="shared" si="1"/>
        <v>0</v>
      </c>
      <c r="H54" s="39">
        <f t="shared" si="2"/>
        <v>25.299299999999999</v>
      </c>
      <c r="I54" s="599">
        <f t="shared" si="3"/>
        <v>0</v>
      </c>
      <c r="J54" s="600">
        <f t="shared" si="4"/>
        <v>9.5808</v>
      </c>
      <c r="K54" s="599">
        <f t="shared" si="5"/>
        <v>0</v>
      </c>
      <c r="L54" s="39">
        <f t="shared" si="6"/>
        <v>7.8742199999999993</v>
      </c>
      <c r="M54" s="599">
        <f t="shared" si="7"/>
        <v>0</v>
      </c>
      <c r="N54" s="600">
        <f t="shared" si="8"/>
        <v>6.5568599999999995</v>
      </c>
      <c r="O54" s="599">
        <f t="shared" si="9"/>
        <v>0</v>
      </c>
      <c r="P54" s="640"/>
    </row>
    <row r="55" spans="1:16" ht="13.5" thickBot="1">
      <c r="A55" s="1164"/>
      <c r="B55" s="318"/>
      <c r="C55" s="297" t="s">
        <v>77</v>
      </c>
      <c r="D55" s="605" t="s">
        <v>78</v>
      </c>
      <c r="E55" s="603">
        <v>329</v>
      </c>
      <c r="F55" s="602">
        <f t="shared" si="0"/>
        <v>197.4</v>
      </c>
      <c r="G55" s="601">
        <f t="shared" si="1"/>
        <v>0</v>
      </c>
      <c r="H55" s="39">
        <f t="shared" si="2"/>
        <v>16.680300000000003</v>
      </c>
      <c r="I55" s="599">
        <f t="shared" si="3"/>
        <v>0</v>
      </c>
      <c r="J55" s="600">
        <f t="shared" si="4"/>
        <v>6.3168000000000006</v>
      </c>
      <c r="K55" s="599">
        <f t="shared" si="5"/>
        <v>0</v>
      </c>
      <c r="L55" s="39">
        <f t="shared" si="6"/>
        <v>5.1916200000000003</v>
      </c>
      <c r="M55" s="599">
        <f t="shared" si="7"/>
        <v>0</v>
      </c>
      <c r="N55" s="600">
        <f t="shared" si="8"/>
        <v>4.3230599999999999</v>
      </c>
      <c r="O55" s="599">
        <f t="shared" si="9"/>
        <v>0</v>
      </c>
      <c r="P55" s="640"/>
    </row>
    <row r="56" spans="1:16" ht="13.5" thickBot="1">
      <c r="A56" s="1164"/>
      <c r="B56" s="318"/>
      <c r="C56" s="297" t="s">
        <v>292</v>
      </c>
      <c r="D56" s="298" t="s">
        <v>427</v>
      </c>
      <c r="E56" s="603">
        <v>1044.75</v>
      </c>
      <c r="F56" s="602">
        <f t="shared" si="0"/>
        <v>626.85</v>
      </c>
      <c r="G56" s="601">
        <f t="shared" si="1"/>
        <v>0</v>
      </c>
      <c r="H56" s="39">
        <f t="shared" si="2"/>
        <v>52.968825000000002</v>
      </c>
      <c r="I56" s="599">
        <f t="shared" si="3"/>
        <v>0</v>
      </c>
      <c r="J56" s="600">
        <f t="shared" si="4"/>
        <v>20.059200000000001</v>
      </c>
      <c r="K56" s="599">
        <f t="shared" si="5"/>
        <v>0</v>
      </c>
      <c r="L56" s="39">
        <f t="shared" si="6"/>
        <v>16.486155</v>
      </c>
      <c r="M56" s="599">
        <f t="shared" si="7"/>
        <v>0</v>
      </c>
      <c r="N56" s="600">
        <f t="shared" si="8"/>
        <v>13.728014999999999</v>
      </c>
      <c r="O56" s="599">
        <f t="shared" si="9"/>
        <v>0</v>
      </c>
      <c r="P56" s="640"/>
    </row>
    <row r="57" spans="1:16" ht="13.5" thickBot="1">
      <c r="A57" s="1164"/>
      <c r="B57" s="318"/>
      <c r="C57" s="297" t="s">
        <v>293</v>
      </c>
      <c r="D57" s="298" t="s">
        <v>3927</v>
      </c>
      <c r="E57" s="603">
        <v>1044.75</v>
      </c>
      <c r="F57" s="602">
        <f t="shared" si="0"/>
        <v>626.85</v>
      </c>
      <c r="G57" s="601">
        <f t="shared" si="1"/>
        <v>0</v>
      </c>
      <c r="H57" s="39">
        <f t="shared" si="2"/>
        <v>52.968825000000002</v>
      </c>
      <c r="I57" s="599">
        <f t="shared" si="3"/>
        <v>0</v>
      </c>
      <c r="J57" s="600">
        <f t="shared" si="4"/>
        <v>20.059200000000001</v>
      </c>
      <c r="K57" s="599">
        <f t="shared" si="5"/>
        <v>0</v>
      </c>
      <c r="L57" s="39">
        <f t="shared" si="6"/>
        <v>16.486155</v>
      </c>
      <c r="M57" s="599">
        <f t="shared" si="7"/>
        <v>0</v>
      </c>
      <c r="N57" s="600">
        <f t="shared" si="8"/>
        <v>13.728014999999999</v>
      </c>
      <c r="O57" s="599">
        <f t="shared" si="9"/>
        <v>0</v>
      </c>
      <c r="P57" s="640"/>
    </row>
    <row r="58" spans="1:16" ht="13.5" thickBot="1">
      <c r="A58" s="1164"/>
      <c r="B58" s="318"/>
      <c r="C58" s="297" t="s">
        <v>294</v>
      </c>
      <c r="D58" s="298" t="s">
        <v>428</v>
      </c>
      <c r="E58" s="603">
        <v>5676.3</v>
      </c>
      <c r="F58" s="602">
        <f t="shared" si="0"/>
        <v>3405.78</v>
      </c>
      <c r="G58" s="601">
        <f t="shared" si="1"/>
        <v>0</v>
      </c>
      <c r="H58" s="39">
        <f t="shared" si="2"/>
        <v>287.78841000000006</v>
      </c>
      <c r="I58" s="599">
        <f t="shared" si="3"/>
        <v>0</v>
      </c>
      <c r="J58" s="600">
        <f t="shared" si="4"/>
        <v>108.98496000000002</v>
      </c>
      <c r="K58" s="599">
        <f t="shared" si="5"/>
        <v>0</v>
      </c>
      <c r="L58" s="39">
        <f t="shared" si="6"/>
        <v>89.57201400000001</v>
      </c>
      <c r="M58" s="599">
        <f t="shared" si="7"/>
        <v>0</v>
      </c>
      <c r="N58" s="600">
        <f t="shared" si="8"/>
        <v>74.586582000000007</v>
      </c>
      <c r="O58" s="599">
        <f t="shared" si="9"/>
        <v>0</v>
      </c>
      <c r="P58" s="640"/>
    </row>
    <row r="59" spans="1:16" ht="13.5" thickBot="1">
      <c r="A59" s="1164"/>
      <c r="B59" s="318"/>
      <c r="C59" s="604" t="s">
        <v>241</v>
      </c>
      <c r="D59" s="607" t="s">
        <v>3853</v>
      </c>
      <c r="E59" s="603">
        <v>235.4</v>
      </c>
      <c r="F59" s="602">
        <f t="shared" si="0"/>
        <v>141.24</v>
      </c>
      <c r="G59" s="601">
        <f t="shared" si="1"/>
        <v>0</v>
      </c>
      <c r="H59" s="39">
        <f t="shared" si="2"/>
        <v>11.934780000000002</v>
      </c>
      <c r="I59" s="599">
        <f t="shared" si="3"/>
        <v>0</v>
      </c>
      <c r="J59" s="600">
        <f t="shared" si="4"/>
        <v>4.5196800000000001</v>
      </c>
      <c r="K59" s="599">
        <f t="shared" si="5"/>
        <v>0</v>
      </c>
      <c r="L59" s="39">
        <f t="shared" si="6"/>
        <v>3.7146120000000002</v>
      </c>
      <c r="M59" s="599">
        <f t="shared" si="7"/>
        <v>0</v>
      </c>
      <c r="N59" s="600">
        <f t="shared" si="8"/>
        <v>3.093156</v>
      </c>
      <c r="O59" s="599">
        <f t="shared" si="9"/>
        <v>0</v>
      </c>
      <c r="P59" s="640"/>
    </row>
    <row r="60" spans="1:16" ht="13.5" thickBot="1">
      <c r="A60" s="1164"/>
      <c r="B60" s="323"/>
      <c r="C60" s="604" t="s">
        <v>242</v>
      </c>
      <c r="D60" s="605" t="s">
        <v>3854</v>
      </c>
      <c r="E60" s="603">
        <v>328.49</v>
      </c>
      <c r="F60" s="602">
        <f t="shared" si="0"/>
        <v>197.09399999999999</v>
      </c>
      <c r="G60" s="601">
        <f t="shared" si="1"/>
        <v>0</v>
      </c>
      <c r="H60" s="39">
        <f t="shared" si="2"/>
        <v>16.654443000000001</v>
      </c>
      <c r="I60" s="599">
        <f t="shared" si="3"/>
        <v>0</v>
      </c>
      <c r="J60" s="600">
        <f t="shared" si="4"/>
        <v>6.3070079999999997</v>
      </c>
      <c r="K60" s="599">
        <f t="shared" si="5"/>
        <v>0</v>
      </c>
      <c r="L60" s="39">
        <f t="shared" si="6"/>
        <v>5.1835721999999995</v>
      </c>
      <c r="M60" s="599">
        <f t="shared" si="7"/>
        <v>0</v>
      </c>
      <c r="N60" s="600">
        <f t="shared" si="8"/>
        <v>4.3163586</v>
      </c>
      <c r="O60" s="599">
        <f t="shared" si="9"/>
        <v>0</v>
      </c>
      <c r="P60" s="640"/>
    </row>
    <row r="61" spans="1:16" ht="13.5" thickBot="1">
      <c r="A61" s="1164"/>
      <c r="B61" s="318"/>
      <c r="C61" s="297" t="s">
        <v>117</v>
      </c>
      <c r="D61" s="605" t="s">
        <v>118</v>
      </c>
      <c r="E61" s="603">
        <v>999.38</v>
      </c>
      <c r="F61" s="602">
        <f t="shared" si="0"/>
        <v>599.62799999999993</v>
      </c>
      <c r="G61" s="601">
        <f t="shared" si="1"/>
        <v>0</v>
      </c>
      <c r="H61" s="39">
        <f t="shared" si="2"/>
        <v>50.668565999999998</v>
      </c>
      <c r="I61" s="599">
        <f t="shared" si="3"/>
        <v>0</v>
      </c>
      <c r="J61" s="600">
        <f t="shared" si="4"/>
        <v>19.188095999999998</v>
      </c>
      <c r="K61" s="599">
        <f t="shared" si="5"/>
        <v>0</v>
      </c>
      <c r="L61" s="39">
        <f t="shared" si="6"/>
        <v>15.770216399999999</v>
      </c>
      <c r="M61" s="599">
        <f t="shared" si="7"/>
        <v>0</v>
      </c>
      <c r="N61" s="600">
        <f t="shared" si="8"/>
        <v>13.131853199999998</v>
      </c>
      <c r="O61" s="599">
        <f t="shared" si="9"/>
        <v>0</v>
      </c>
      <c r="P61" s="640"/>
    </row>
    <row r="62" spans="1:16" ht="13.5" thickBot="1">
      <c r="A62" s="1164"/>
      <c r="B62" s="318"/>
      <c r="C62" s="297" t="s">
        <v>119</v>
      </c>
      <c r="D62" s="605" t="s">
        <v>120</v>
      </c>
      <c r="E62" s="603">
        <v>222.6</v>
      </c>
      <c r="F62" s="602">
        <f t="shared" si="0"/>
        <v>133.56</v>
      </c>
      <c r="G62" s="601">
        <f t="shared" si="1"/>
        <v>0</v>
      </c>
      <c r="H62" s="39">
        <f t="shared" si="2"/>
        <v>11.285820000000001</v>
      </c>
      <c r="I62" s="599">
        <f t="shared" si="3"/>
        <v>0</v>
      </c>
      <c r="J62" s="600">
        <f t="shared" si="4"/>
        <v>4.2739200000000004</v>
      </c>
      <c r="K62" s="599">
        <f t="shared" si="5"/>
        <v>0</v>
      </c>
      <c r="L62" s="39">
        <f t="shared" si="6"/>
        <v>3.5126280000000003</v>
      </c>
      <c r="M62" s="599">
        <f t="shared" si="7"/>
        <v>0</v>
      </c>
      <c r="N62" s="600">
        <f t="shared" si="8"/>
        <v>2.9249640000000001</v>
      </c>
      <c r="O62" s="599">
        <f t="shared" si="9"/>
        <v>0</v>
      </c>
      <c r="P62" s="640"/>
    </row>
    <row r="63" spans="1:16" ht="13.5" thickBot="1">
      <c r="A63" s="1164"/>
      <c r="B63" s="319"/>
      <c r="C63" s="297">
        <v>45111136</v>
      </c>
      <c r="D63" s="605" t="s">
        <v>3928</v>
      </c>
      <c r="E63" s="603">
        <v>1100</v>
      </c>
      <c r="F63" s="602">
        <f t="shared" si="0"/>
        <v>660</v>
      </c>
      <c r="G63" s="601">
        <f t="shared" si="1"/>
        <v>0</v>
      </c>
      <c r="H63" s="39">
        <f t="shared" si="2"/>
        <v>55.77</v>
      </c>
      <c r="I63" s="599">
        <f t="shared" si="3"/>
        <v>0</v>
      </c>
      <c r="J63" s="600">
        <f t="shared" si="4"/>
        <v>21.12</v>
      </c>
      <c r="K63" s="599">
        <f t="shared" si="5"/>
        <v>0</v>
      </c>
      <c r="L63" s="39">
        <f t="shared" si="6"/>
        <v>17.358000000000001</v>
      </c>
      <c r="M63" s="599">
        <f t="shared" si="7"/>
        <v>0</v>
      </c>
      <c r="N63" s="600">
        <f t="shared" si="8"/>
        <v>14.453999999999999</v>
      </c>
      <c r="O63" s="599">
        <f t="shared" si="9"/>
        <v>0</v>
      </c>
      <c r="P63" s="640"/>
    </row>
    <row r="64" spans="1:16" ht="13.5" thickBot="1">
      <c r="A64" s="1164"/>
      <c r="B64" s="318"/>
      <c r="C64" s="297">
        <v>45206712</v>
      </c>
      <c r="D64" s="605" t="s">
        <v>3986</v>
      </c>
      <c r="E64" s="603">
        <v>2625</v>
      </c>
      <c r="F64" s="602">
        <f t="shared" si="0"/>
        <v>1575</v>
      </c>
      <c r="G64" s="601">
        <f t="shared" si="1"/>
        <v>0</v>
      </c>
      <c r="H64" s="39">
        <f t="shared" si="2"/>
        <v>133.08750000000001</v>
      </c>
      <c r="I64" s="599">
        <f t="shared" si="3"/>
        <v>0</v>
      </c>
      <c r="J64" s="600">
        <f t="shared" si="4"/>
        <v>50.4</v>
      </c>
      <c r="K64" s="599">
        <f t="shared" si="5"/>
        <v>0</v>
      </c>
      <c r="L64" s="39">
        <f t="shared" si="6"/>
        <v>41.422499999999999</v>
      </c>
      <c r="M64" s="599">
        <f t="shared" si="7"/>
        <v>0</v>
      </c>
      <c r="N64" s="600">
        <f t="shared" si="8"/>
        <v>34.4925</v>
      </c>
      <c r="O64" s="599">
        <f t="shared" si="9"/>
        <v>0</v>
      </c>
      <c r="P64" s="640"/>
    </row>
    <row r="65" spans="1:16" ht="26.25" thickBot="1">
      <c r="A65" s="1164"/>
      <c r="B65" s="318"/>
      <c r="C65" s="604" t="s">
        <v>244</v>
      </c>
      <c r="D65" s="605" t="s">
        <v>3855</v>
      </c>
      <c r="E65" s="603">
        <v>1259.3900000000001</v>
      </c>
      <c r="F65" s="602">
        <f t="shared" si="0"/>
        <v>755.63400000000001</v>
      </c>
      <c r="G65" s="601">
        <f t="shared" si="1"/>
        <v>0</v>
      </c>
      <c r="H65" s="39">
        <f t="shared" si="2"/>
        <v>63.851073000000007</v>
      </c>
      <c r="I65" s="599">
        <f t="shared" si="3"/>
        <v>0</v>
      </c>
      <c r="J65" s="600">
        <f t="shared" si="4"/>
        <v>24.180288000000001</v>
      </c>
      <c r="K65" s="599">
        <f t="shared" si="5"/>
        <v>0</v>
      </c>
      <c r="L65" s="39">
        <f t="shared" si="6"/>
        <v>19.873174200000001</v>
      </c>
      <c r="M65" s="599">
        <f t="shared" si="7"/>
        <v>0</v>
      </c>
      <c r="N65" s="600">
        <f t="shared" si="8"/>
        <v>16.548384599999999</v>
      </c>
      <c r="O65" s="599">
        <f t="shared" si="9"/>
        <v>0</v>
      </c>
      <c r="P65" s="640"/>
    </row>
    <row r="66" spans="1:16" ht="13.5" thickBot="1">
      <c r="A66" s="1164"/>
      <c r="B66" s="318"/>
      <c r="C66" s="604" t="s">
        <v>3856</v>
      </c>
      <c r="D66" s="605" t="s">
        <v>4039</v>
      </c>
      <c r="E66" s="603">
        <v>1399.56</v>
      </c>
      <c r="F66" s="602">
        <f t="shared" si="0"/>
        <v>839.73599999999999</v>
      </c>
      <c r="G66" s="601">
        <f t="shared" si="1"/>
        <v>0</v>
      </c>
      <c r="H66" s="39">
        <f t="shared" si="2"/>
        <v>70.957692000000009</v>
      </c>
      <c r="I66" s="599">
        <f t="shared" si="3"/>
        <v>0</v>
      </c>
      <c r="J66" s="600">
        <f t="shared" si="4"/>
        <v>26.871552000000001</v>
      </c>
      <c r="K66" s="599">
        <f t="shared" si="5"/>
        <v>0</v>
      </c>
      <c r="L66" s="39">
        <f t="shared" si="6"/>
        <v>22.0850568</v>
      </c>
      <c r="M66" s="599">
        <f t="shared" si="7"/>
        <v>0</v>
      </c>
      <c r="N66" s="600">
        <f t="shared" si="8"/>
        <v>18.390218399999998</v>
      </c>
      <c r="O66" s="599">
        <f t="shared" si="9"/>
        <v>0</v>
      </c>
      <c r="P66" s="640"/>
    </row>
    <row r="67" spans="1:16" ht="26.25" thickBot="1">
      <c r="A67" s="1164"/>
      <c r="B67" s="319"/>
      <c r="C67" s="604" t="s">
        <v>3858</v>
      </c>
      <c r="D67" s="605" t="s">
        <v>429</v>
      </c>
      <c r="E67" s="603">
        <v>2172.17</v>
      </c>
      <c r="F67" s="602">
        <f t="shared" si="0"/>
        <v>1303.3019999999999</v>
      </c>
      <c r="G67" s="601">
        <f t="shared" si="1"/>
        <v>0</v>
      </c>
      <c r="H67" s="39">
        <f t="shared" si="2"/>
        <v>110.129019</v>
      </c>
      <c r="I67" s="599">
        <f t="shared" si="3"/>
        <v>0</v>
      </c>
      <c r="J67" s="600">
        <f t="shared" si="4"/>
        <v>41.705663999999999</v>
      </c>
      <c r="K67" s="599">
        <f t="shared" si="5"/>
        <v>0</v>
      </c>
      <c r="L67" s="39">
        <f t="shared" si="6"/>
        <v>34.276842599999995</v>
      </c>
      <c r="M67" s="599">
        <f t="shared" si="7"/>
        <v>0</v>
      </c>
      <c r="N67" s="600">
        <f t="shared" si="8"/>
        <v>28.542313799999999</v>
      </c>
      <c r="O67" s="599">
        <f t="shared" si="9"/>
        <v>0</v>
      </c>
      <c r="P67" s="640"/>
    </row>
    <row r="68" spans="1:16" ht="26.25" thickBot="1">
      <c r="A68" s="1164"/>
      <c r="B68" s="319"/>
      <c r="C68" s="604" t="s">
        <v>3914</v>
      </c>
      <c r="D68" s="605" t="s">
        <v>4038</v>
      </c>
      <c r="E68" s="603">
        <v>4008.22</v>
      </c>
      <c r="F68" s="602">
        <f t="shared" si="0"/>
        <v>2404.9319999999998</v>
      </c>
      <c r="G68" s="601">
        <f t="shared" si="1"/>
        <v>0</v>
      </c>
      <c r="H68" s="39">
        <f t="shared" si="2"/>
        <v>203.21675400000001</v>
      </c>
      <c r="I68" s="599">
        <f t="shared" si="3"/>
        <v>0</v>
      </c>
      <c r="J68" s="600">
        <f t="shared" si="4"/>
        <v>76.957823999999988</v>
      </c>
      <c r="K68" s="599">
        <f t="shared" si="5"/>
        <v>0</v>
      </c>
      <c r="L68" s="39">
        <f t="shared" si="6"/>
        <v>63.249711599999998</v>
      </c>
      <c r="M68" s="599">
        <f t="shared" si="7"/>
        <v>0</v>
      </c>
      <c r="N68" s="600">
        <f t="shared" si="8"/>
        <v>52.66801079999999</v>
      </c>
      <c r="O68" s="599">
        <f t="shared" si="9"/>
        <v>0</v>
      </c>
      <c r="P68" s="640"/>
    </row>
    <row r="69" spans="1:16" ht="13.5" thickBot="1">
      <c r="A69" s="1164"/>
      <c r="B69" s="319"/>
      <c r="C69" s="604" t="s">
        <v>3861</v>
      </c>
      <c r="D69" s="605" t="s">
        <v>3919</v>
      </c>
      <c r="E69" s="603">
        <v>1828.63</v>
      </c>
      <c r="F69" s="602">
        <f t="shared" si="0"/>
        <v>1097.1780000000001</v>
      </c>
      <c r="G69" s="599">
        <f t="shared" si="1"/>
        <v>0</v>
      </c>
      <c r="H69" s="39">
        <f t="shared" si="2"/>
        <v>92.711541000000011</v>
      </c>
      <c r="I69" s="599">
        <f t="shared" si="3"/>
        <v>0</v>
      </c>
      <c r="J69" s="600">
        <f t="shared" si="4"/>
        <v>35.109696000000007</v>
      </c>
      <c r="K69" s="599">
        <f t="shared" si="5"/>
        <v>0</v>
      </c>
      <c r="L69" s="39">
        <f t="shared" si="6"/>
        <v>28.855781400000005</v>
      </c>
      <c r="M69" s="599">
        <f t="shared" si="7"/>
        <v>0</v>
      </c>
      <c r="N69" s="600">
        <f t="shared" si="8"/>
        <v>24.028198200000002</v>
      </c>
      <c r="O69" s="599">
        <f t="shared" si="9"/>
        <v>0</v>
      </c>
      <c r="P69" s="640"/>
    </row>
    <row r="70" spans="1:16" ht="13.5" thickBot="1">
      <c r="A70" s="1164"/>
      <c r="B70" s="318"/>
      <c r="C70" s="297" t="s">
        <v>123</v>
      </c>
      <c r="D70" s="607" t="s">
        <v>3923</v>
      </c>
      <c r="E70" s="603">
        <v>329.56</v>
      </c>
      <c r="F70" s="602">
        <f t="shared" si="0"/>
        <v>197.73599999999999</v>
      </c>
      <c r="G70" s="601">
        <f t="shared" si="1"/>
        <v>0</v>
      </c>
      <c r="H70" s="39">
        <f t="shared" si="2"/>
        <v>16.708691999999999</v>
      </c>
      <c r="I70" s="599">
        <f t="shared" si="3"/>
        <v>0</v>
      </c>
      <c r="J70" s="600">
        <f t="shared" si="4"/>
        <v>6.3275519999999998</v>
      </c>
      <c r="K70" s="599">
        <f t="shared" si="5"/>
        <v>0</v>
      </c>
      <c r="L70" s="39">
        <f t="shared" si="6"/>
        <v>5.2004567999999995</v>
      </c>
      <c r="M70" s="599">
        <f t="shared" si="7"/>
        <v>0</v>
      </c>
      <c r="N70" s="600">
        <f t="shared" si="8"/>
        <v>4.3304183999999992</v>
      </c>
      <c r="O70" s="599">
        <f t="shared" si="9"/>
        <v>0</v>
      </c>
      <c r="P70" s="640"/>
    </row>
    <row r="71" spans="1:16" ht="13.5" thickBot="1">
      <c r="A71" s="1164"/>
      <c r="B71" s="318"/>
      <c r="C71" s="297" t="s">
        <v>3862</v>
      </c>
      <c r="D71" s="605" t="s">
        <v>3929</v>
      </c>
      <c r="E71" s="603">
        <v>4449.0600000000004</v>
      </c>
      <c r="F71" s="602">
        <f t="shared" si="0"/>
        <v>2669.4360000000001</v>
      </c>
      <c r="G71" s="601">
        <f t="shared" si="1"/>
        <v>0</v>
      </c>
      <c r="H71" s="39">
        <f t="shared" si="2"/>
        <v>225.56734200000002</v>
      </c>
      <c r="I71" s="599">
        <f t="shared" si="3"/>
        <v>0</v>
      </c>
      <c r="J71" s="600">
        <f t="shared" si="4"/>
        <v>85.421952000000005</v>
      </c>
      <c r="K71" s="599">
        <f t="shared" si="5"/>
        <v>0</v>
      </c>
      <c r="L71" s="39">
        <f t="shared" si="6"/>
        <v>70.206166800000005</v>
      </c>
      <c r="M71" s="599">
        <f t="shared" si="7"/>
        <v>0</v>
      </c>
      <c r="N71" s="600">
        <f t="shared" si="8"/>
        <v>58.460648400000004</v>
      </c>
      <c r="O71" s="599">
        <f t="shared" si="9"/>
        <v>0</v>
      </c>
      <c r="P71" s="640"/>
    </row>
    <row r="72" spans="1:16" s="291" customFormat="1" ht="13.5" thickBot="1">
      <c r="A72" s="1164"/>
      <c r="B72" s="585"/>
      <c r="C72" s="588" t="s">
        <v>3863</v>
      </c>
      <c r="D72" s="298" t="s">
        <v>3864</v>
      </c>
      <c r="E72" s="603">
        <v>352.03</v>
      </c>
      <c r="F72" s="38">
        <f t="shared" si="0"/>
        <v>211.21799999999999</v>
      </c>
      <c r="G72" s="396">
        <f t="shared" si="1"/>
        <v>0</v>
      </c>
      <c r="H72" s="397">
        <f t="shared" si="2"/>
        <v>17.847920999999999</v>
      </c>
      <c r="I72" s="397">
        <f t="shared" si="3"/>
        <v>0</v>
      </c>
      <c r="J72" s="397">
        <f t="shared" si="4"/>
        <v>6.7589759999999997</v>
      </c>
      <c r="K72" s="397">
        <f t="shared" si="5"/>
        <v>0</v>
      </c>
      <c r="L72" s="397">
        <f t="shared" si="6"/>
        <v>5.5550334000000001</v>
      </c>
      <c r="M72" s="397">
        <f t="shared" si="7"/>
        <v>0</v>
      </c>
      <c r="N72" s="397">
        <f t="shared" si="8"/>
        <v>4.6256741999999997</v>
      </c>
      <c r="O72" s="397">
        <f t="shared" si="9"/>
        <v>0</v>
      </c>
      <c r="P72" s="640"/>
    </row>
    <row r="73" spans="1:16" ht="13.5" thickBot="1">
      <c r="A73" s="1164"/>
      <c r="B73" s="318"/>
      <c r="C73" s="297" t="s">
        <v>214</v>
      </c>
      <c r="D73" s="605" t="s">
        <v>246</v>
      </c>
      <c r="E73" s="603">
        <v>588.5</v>
      </c>
      <c r="F73" s="602">
        <f t="shared" si="0"/>
        <v>353.09999999999997</v>
      </c>
      <c r="G73" s="601">
        <f t="shared" si="1"/>
        <v>0</v>
      </c>
      <c r="H73" s="39">
        <f t="shared" si="2"/>
        <v>29.836949999999998</v>
      </c>
      <c r="I73" s="599">
        <f t="shared" si="3"/>
        <v>0</v>
      </c>
      <c r="J73" s="600">
        <f t="shared" si="4"/>
        <v>11.299199999999999</v>
      </c>
      <c r="K73" s="599">
        <f t="shared" si="5"/>
        <v>0</v>
      </c>
      <c r="L73" s="39">
        <f t="shared" si="6"/>
        <v>9.2865299999999991</v>
      </c>
      <c r="M73" s="599">
        <f t="shared" si="7"/>
        <v>0</v>
      </c>
      <c r="N73" s="600">
        <f t="shared" si="8"/>
        <v>7.7328899999999994</v>
      </c>
      <c r="O73" s="599">
        <f t="shared" si="9"/>
        <v>0</v>
      </c>
      <c r="P73" s="640"/>
    </row>
    <row r="74" spans="1:16" ht="13.5" thickBot="1">
      <c r="A74" s="1164"/>
      <c r="B74" s="318"/>
      <c r="C74" s="604" t="s">
        <v>3865</v>
      </c>
      <c r="D74" s="605" t="s">
        <v>3866</v>
      </c>
      <c r="E74" s="603">
        <v>145.52000000000001</v>
      </c>
      <c r="F74" s="602">
        <f t="shared" si="0"/>
        <v>87.311999999999998</v>
      </c>
      <c r="G74" s="601">
        <f t="shared" si="1"/>
        <v>0</v>
      </c>
      <c r="H74" s="39">
        <f t="shared" si="2"/>
        <v>7.3778640000000006</v>
      </c>
      <c r="I74" s="599">
        <f t="shared" si="3"/>
        <v>0</v>
      </c>
      <c r="J74" s="600">
        <f t="shared" si="4"/>
        <v>2.793984</v>
      </c>
      <c r="K74" s="599">
        <f t="shared" si="5"/>
        <v>0</v>
      </c>
      <c r="L74" s="39">
        <f t="shared" si="6"/>
        <v>2.2963056000000002</v>
      </c>
      <c r="M74" s="599">
        <f t="shared" si="7"/>
        <v>0</v>
      </c>
      <c r="N74" s="600">
        <f t="shared" si="8"/>
        <v>1.9121328</v>
      </c>
      <c r="O74" s="599">
        <f t="shared" si="9"/>
        <v>0</v>
      </c>
      <c r="P74" s="640"/>
    </row>
    <row r="75" spans="1:16" ht="13.5" thickBot="1">
      <c r="A75" s="1164"/>
      <c r="B75" s="318"/>
      <c r="C75" s="604" t="s">
        <v>3930</v>
      </c>
      <c r="D75" s="298" t="s">
        <v>3931</v>
      </c>
      <c r="E75" s="603">
        <v>1470</v>
      </c>
      <c r="F75" s="602">
        <f t="shared" si="0"/>
        <v>882</v>
      </c>
      <c r="G75" s="601">
        <f t="shared" si="1"/>
        <v>0</v>
      </c>
      <c r="H75" s="39">
        <f t="shared" si="2"/>
        <v>74.529000000000011</v>
      </c>
      <c r="I75" s="599">
        <f t="shared" si="3"/>
        <v>0</v>
      </c>
      <c r="J75" s="600">
        <f t="shared" si="4"/>
        <v>28.224</v>
      </c>
      <c r="K75" s="599">
        <f t="shared" si="5"/>
        <v>0</v>
      </c>
      <c r="L75" s="39">
        <f t="shared" si="6"/>
        <v>23.1966</v>
      </c>
      <c r="M75" s="599">
        <f t="shared" si="7"/>
        <v>0</v>
      </c>
      <c r="N75" s="600">
        <f t="shared" si="8"/>
        <v>19.315799999999999</v>
      </c>
      <c r="O75" s="599">
        <f t="shared" si="9"/>
        <v>0</v>
      </c>
      <c r="P75" s="640"/>
    </row>
    <row r="76" spans="1:16" ht="13.5" thickBot="1">
      <c r="A76" s="1164"/>
      <c r="B76" s="318"/>
      <c r="C76" s="297" t="s">
        <v>127</v>
      </c>
      <c r="D76" s="298" t="s">
        <v>3947</v>
      </c>
      <c r="E76" s="603">
        <v>148.72999999999999</v>
      </c>
      <c r="F76" s="602">
        <f t="shared" si="0"/>
        <v>89.237999999999985</v>
      </c>
      <c r="G76" s="601">
        <f t="shared" si="1"/>
        <v>0</v>
      </c>
      <c r="H76" s="39">
        <f t="shared" si="2"/>
        <v>7.5406109999999993</v>
      </c>
      <c r="I76" s="599">
        <f t="shared" si="3"/>
        <v>0</v>
      </c>
      <c r="J76" s="600">
        <f t="shared" si="4"/>
        <v>2.8556159999999995</v>
      </c>
      <c r="K76" s="599">
        <f t="shared" si="5"/>
        <v>0</v>
      </c>
      <c r="L76" s="39">
        <f t="shared" si="6"/>
        <v>2.3469593999999998</v>
      </c>
      <c r="M76" s="599">
        <f t="shared" si="7"/>
        <v>0</v>
      </c>
      <c r="N76" s="600">
        <f t="shared" si="8"/>
        <v>1.9543121999999997</v>
      </c>
      <c r="O76" s="599">
        <f t="shared" si="9"/>
        <v>0</v>
      </c>
      <c r="P76" s="640"/>
    </row>
    <row r="77" spans="1:16" ht="13.5" thickBot="1">
      <c r="A77" s="1164"/>
      <c r="B77" s="318"/>
      <c r="C77" s="604" t="s">
        <v>129</v>
      </c>
      <c r="D77" s="607" t="s">
        <v>171</v>
      </c>
      <c r="E77" s="603">
        <v>785</v>
      </c>
      <c r="F77" s="602">
        <f t="shared" si="0"/>
        <v>471</v>
      </c>
      <c r="G77" s="601">
        <f t="shared" si="1"/>
        <v>0</v>
      </c>
      <c r="H77" s="39">
        <f t="shared" si="2"/>
        <v>39.799500000000002</v>
      </c>
      <c r="I77" s="599">
        <f t="shared" si="3"/>
        <v>0</v>
      </c>
      <c r="J77" s="600">
        <f t="shared" si="4"/>
        <v>15.072000000000001</v>
      </c>
      <c r="K77" s="599">
        <f t="shared" si="5"/>
        <v>0</v>
      </c>
      <c r="L77" s="39">
        <f t="shared" si="6"/>
        <v>12.3873</v>
      </c>
      <c r="M77" s="599">
        <f t="shared" si="7"/>
        <v>0</v>
      </c>
      <c r="N77" s="600">
        <f t="shared" si="8"/>
        <v>10.3149</v>
      </c>
      <c r="O77" s="599">
        <f t="shared" si="9"/>
        <v>0</v>
      </c>
      <c r="P77" s="640"/>
    </row>
    <row r="78" spans="1:16" ht="13.5" thickBot="1">
      <c r="A78" s="1164"/>
      <c r="B78" s="323"/>
      <c r="C78" s="604" t="s">
        <v>131</v>
      </c>
      <c r="D78" s="605" t="s">
        <v>4040</v>
      </c>
      <c r="E78" s="603">
        <v>821</v>
      </c>
      <c r="F78" s="602">
        <f t="shared" si="0"/>
        <v>492.59999999999997</v>
      </c>
      <c r="G78" s="601">
        <f t="shared" si="1"/>
        <v>0</v>
      </c>
      <c r="H78" s="39">
        <f t="shared" ref="H78:H101" si="10">F78*0.0845</f>
        <v>41.624699999999997</v>
      </c>
      <c r="I78" s="599">
        <f t="shared" si="3"/>
        <v>0</v>
      </c>
      <c r="J78" s="600">
        <f t="shared" ref="J78:J101" si="11">F78*0.032</f>
        <v>15.763199999999999</v>
      </c>
      <c r="K78" s="599">
        <f t="shared" si="5"/>
        <v>0</v>
      </c>
      <c r="L78" s="39">
        <f t="shared" ref="L78:L101" si="12">F78*0.0263</f>
        <v>12.95538</v>
      </c>
      <c r="M78" s="599">
        <f t="shared" si="7"/>
        <v>0</v>
      </c>
      <c r="N78" s="600">
        <f t="shared" ref="N78:N101" si="13">F78*0.0219</f>
        <v>10.787939999999999</v>
      </c>
      <c r="O78" s="599">
        <f t="shared" si="9"/>
        <v>0</v>
      </c>
      <c r="P78" s="640"/>
    </row>
    <row r="79" spans="1:16" ht="13.5" thickBot="1">
      <c r="A79" s="1164"/>
      <c r="B79" s="318"/>
      <c r="C79" s="604" t="s">
        <v>133</v>
      </c>
      <c r="D79" s="605" t="s">
        <v>134</v>
      </c>
      <c r="E79" s="603">
        <v>690</v>
      </c>
      <c r="F79" s="602">
        <f t="shared" si="0"/>
        <v>414</v>
      </c>
      <c r="G79" s="601">
        <f t="shared" si="1"/>
        <v>0</v>
      </c>
      <c r="H79" s="39">
        <f t="shared" si="10"/>
        <v>34.983000000000004</v>
      </c>
      <c r="I79" s="599">
        <f t="shared" si="3"/>
        <v>0</v>
      </c>
      <c r="J79" s="600">
        <f t="shared" si="11"/>
        <v>13.248000000000001</v>
      </c>
      <c r="K79" s="599">
        <f t="shared" si="5"/>
        <v>0</v>
      </c>
      <c r="L79" s="39">
        <f t="shared" si="12"/>
        <v>10.888199999999999</v>
      </c>
      <c r="M79" s="599">
        <f t="shared" si="7"/>
        <v>0</v>
      </c>
      <c r="N79" s="600">
        <f t="shared" si="13"/>
        <v>9.0665999999999993</v>
      </c>
      <c r="O79" s="599">
        <f t="shared" si="9"/>
        <v>0</v>
      </c>
      <c r="P79" s="640"/>
    </row>
    <row r="80" spans="1:16" ht="13.5" thickBot="1">
      <c r="A80" s="1164"/>
      <c r="B80" s="318"/>
      <c r="C80" s="604" t="s">
        <v>135</v>
      </c>
      <c r="D80" s="605" t="s">
        <v>136</v>
      </c>
      <c r="E80" s="603">
        <v>191</v>
      </c>
      <c r="F80" s="602">
        <f t="shared" si="0"/>
        <v>114.6</v>
      </c>
      <c r="G80" s="601">
        <f t="shared" si="1"/>
        <v>0</v>
      </c>
      <c r="H80" s="39">
        <f t="shared" si="10"/>
        <v>9.6837</v>
      </c>
      <c r="I80" s="599">
        <f t="shared" si="3"/>
        <v>0</v>
      </c>
      <c r="J80" s="600">
        <f t="shared" si="11"/>
        <v>3.6671999999999998</v>
      </c>
      <c r="K80" s="599">
        <f t="shared" si="5"/>
        <v>0</v>
      </c>
      <c r="L80" s="39">
        <f t="shared" si="12"/>
        <v>3.0139800000000001</v>
      </c>
      <c r="M80" s="599">
        <f t="shared" si="7"/>
        <v>0</v>
      </c>
      <c r="N80" s="600">
        <f t="shared" si="13"/>
        <v>2.5097399999999999</v>
      </c>
      <c r="O80" s="599">
        <f t="shared" si="9"/>
        <v>0</v>
      </c>
      <c r="P80" s="640"/>
    </row>
    <row r="81" spans="1:16" ht="13.5" thickBot="1">
      <c r="A81" s="1164"/>
      <c r="B81" s="319"/>
      <c r="C81" s="604" t="s">
        <v>137</v>
      </c>
      <c r="D81" s="605" t="s">
        <v>4041</v>
      </c>
      <c r="E81" s="603">
        <v>667.8</v>
      </c>
      <c r="F81" s="602">
        <f t="shared" si="0"/>
        <v>400.67999999999995</v>
      </c>
      <c r="G81" s="601">
        <f t="shared" si="1"/>
        <v>0</v>
      </c>
      <c r="H81" s="39">
        <f t="shared" si="10"/>
        <v>33.857459999999996</v>
      </c>
      <c r="I81" s="599">
        <f t="shared" si="3"/>
        <v>0</v>
      </c>
      <c r="J81" s="600">
        <f t="shared" si="11"/>
        <v>12.821759999999999</v>
      </c>
      <c r="K81" s="599">
        <f t="shared" si="5"/>
        <v>0</v>
      </c>
      <c r="L81" s="39">
        <f t="shared" si="12"/>
        <v>10.537883999999998</v>
      </c>
      <c r="M81" s="599">
        <f t="shared" si="7"/>
        <v>0</v>
      </c>
      <c r="N81" s="600">
        <f t="shared" si="13"/>
        <v>8.7748919999999995</v>
      </c>
      <c r="O81" s="599">
        <f t="shared" si="9"/>
        <v>0</v>
      </c>
      <c r="P81" s="640"/>
    </row>
    <row r="82" spans="1:16" ht="13.5" thickBot="1">
      <c r="A82" s="1164"/>
      <c r="B82" s="318"/>
      <c r="C82" s="604" t="s">
        <v>139</v>
      </c>
      <c r="D82" s="605" t="s">
        <v>140</v>
      </c>
      <c r="E82" s="603">
        <v>250</v>
      </c>
      <c r="F82" s="602">
        <f t="shared" si="0"/>
        <v>150</v>
      </c>
      <c r="G82" s="601">
        <f t="shared" si="1"/>
        <v>0</v>
      </c>
      <c r="H82" s="39">
        <f t="shared" si="10"/>
        <v>12.675000000000001</v>
      </c>
      <c r="I82" s="599">
        <f t="shared" si="3"/>
        <v>0</v>
      </c>
      <c r="J82" s="600">
        <f t="shared" si="11"/>
        <v>4.8</v>
      </c>
      <c r="K82" s="599">
        <f t="shared" si="5"/>
        <v>0</v>
      </c>
      <c r="L82" s="39">
        <f t="shared" si="12"/>
        <v>3.9450000000000003</v>
      </c>
      <c r="M82" s="599">
        <f t="shared" si="7"/>
        <v>0</v>
      </c>
      <c r="N82" s="600">
        <f t="shared" si="13"/>
        <v>3.2849999999999997</v>
      </c>
      <c r="O82" s="599">
        <f t="shared" si="9"/>
        <v>0</v>
      </c>
      <c r="P82" s="640"/>
    </row>
    <row r="83" spans="1:16" ht="13.5" thickBot="1">
      <c r="A83" s="1164"/>
      <c r="B83" s="318"/>
      <c r="C83" s="604" t="s">
        <v>141</v>
      </c>
      <c r="D83" s="605" t="s">
        <v>4042</v>
      </c>
      <c r="E83" s="603">
        <v>250</v>
      </c>
      <c r="F83" s="602">
        <f t="shared" si="0"/>
        <v>150</v>
      </c>
      <c r="G83" s="601">
        <f t="shared" si="1"/>
        <v>0</v>
      </c>
      <c r="H83" s="39">
        <f t="shared" si="10"/>
        <v>12.675000000000001</v>
      </c>
      <c r="I83" s="599">
        <f t="shared" si="3"/>
        <v>0</v>
      </c>
      <c r="J83" s="600">
        <f t="shared" si="11"/>
        <v>4.8</v>
      </c>
      <c r="K83" s="599">
        <f t="shared" si="5"/>
        <v>0</v>
      </c>
      <c r="L83" s="39">
        <f t="shared" si="12"/>
        <v>3.9450000000000003</v>
      </c>
      <c r="M83" s="599">
        <f t="shared" si="7"/>
        <v>0</v>
      </c>
      <c r="N83" s="600">
        <f t="shared" si="13"/>
        <v>3.2849999999999997</v>
      </c>
      <c r="O83" s="599">
        <f t="shared" si="9"/>
        <v>0</v>
      </c>
      <c r="P83" s="640"/>
    </row>
    <row r="84" spans="1:16" ht="26.25" thickBot="1">
      <c r="A84" s="1164"/>
      <c r="B84" s="318"/>
      <c r="C84" s="604" t="s">
        <v>251</v>
      </c>
      <c r="D84" s="605" t="s">
        <v>3868</v>
      </c>
      <c r="E84" s="603">
        <v>1959</v>
      </c>
      <c r="F84" s="602">
        <f t="shared" si="0"/>
        <v>1175.3999999999999</v>
      </c>
      <c r="G84" s="601">
        <f t="shared" si="1"/>
        <v>0</v>
      </c>
      <c r="H84" s="39">
        <f t="shared" si="10"/>
        <v>99.321299999999994</v>
      </c>
      <c r="I84" s="599">
        <f t="shared" si="3"/>
        <v>0</v>
      </c>
      <c r="J84" s="600">
        <f t="shared" si="11"/>
        <v>37.612799999999993</v>
      </c>
      <c r="K84" s="599">
        <f t="shared" si="5"/>
        <v>0</v>
      </c>
      <c r="L84" s="39">
        <f t="shared" si="12"/>
        <v>30.913019999999996</v>
      </c>
      <c r="M84" s="599">
        <f t="shared" si="7"/>
        <v>0</v>
      </c>
      <c r="N84" s="600">
        <f t="shared" si="13"/>
        <v>25.741259999999997</v>
      </c>
      <c r="O84" s="599">
        <f t="shared" si="9"/>
        <v>0</v>
      </c>
      <c r="P84" s="640"/>
    </row>
    <row r="85" spans="1:16" ht="13.5" thickBot="1">
      <c r="A85" s="1164"/>
      <c r="B85" s="318"/>
      <c r="C85" s="604" t="s">
        <v>252</v>
      </c>
      <c r="D85" s="562" t="s">
        <v>3869</v>
      </c>
      <c r="E85" s="603">
        <v>996.17</v>
      </c>
      <c r="F85" s="602">
        <f t="shared" si="0"/>
        <v>597.702</v>
      </c>
      <c r="G85" s="601">
        <f t="shared" si="1"/>
        <v>0</v>
      </c>
      <c r="H85" s="39">
        <f t="shared" si="10"/>
        <v>50.505819000000002</v>
      </c>
      <c r="I85" s="599">
        <f t="shared" si="3"/>
        <v>0</v>
      </c>
      <c r="J85" s="600">
        <f t="shared" si="11"/>
        <v>19.126463999999999</v>
      </c>
      <c r="K85" s="599">
        <f t="shared" si="5"/>
        <v>0</v>
      </c>
      <c r="L85" s="39">
        <f t="shared" si="12"/>
        <v>15.7195626</v>
      </c>
      <c r="M85" s="599">
        <f t="shared" si="7"/>
        <v>0</v>
      </c>
      <c r="N85" s="600">
        <f t="shared" si="13"/>
        <v>13.0896738</v>
      </c>
      <c r="O85" s="599">
        <f t="shared" si="9"/>
        <v>0</v>
      </c>
      <c r="P85" s="640"/>
    </row>
    <row r="86" spans="1:16" ht="13.5" thickBot="1">
      <c r="A86" s="1164"/>
      <c r="B86" s="319"/>
      <c r="C86" s="604" t="s">
        <v>218</v>
      </c>
      <c r="D86" s="298" t="s">
        <v>253</v>
      </c>
      <c r="E86" s="603">
        <v>70.62</v>
      </c>
      <c r="F86" s="602">
        <f t="shared" si="0"/>
        <v>42.372</v>
      </c>
      <c r="G86" s="601">
        <f t="shared" si="1"/>
        <v>0</v>
      </c>
      <c r="H86" s="39">
        <f t="shared" si="10"/>
        <v>3.5804340000000003</v>
      </c>
      <c r="I86" s="599">
        <f t="shared" si="3"/>
        <v>0</v>
      </c>
      <c r="J86" s="600">
        <f t="shared" si="11"/>
        <v>1.355904</v>
      </c>
      <c r="K86" s="599">
        <f t="shared" si="5"/>
        <v>0</v>
      </c>
      <c r="L86" s="39">
        <f t="shared" si="12"/>
        <v>1.1143836</v>
      </c>
      <c r="M86" s="599">
        <f t="shared" si="7"/>
        <v>0</v>
      </c>
      <c r="N86" s="600">
        <f t="shared" si="13"/>
        <v>0.92794679999999996</v>
      </c>
      <c r="O86" s="599">
        <f t="shared" si="9"/>
        <v>0</v>
      </c>
      <c r="P86" s="640"/>
    </row>
    <row r="87" spans="1:16" ht="13.5" thickBot="1">
      <c r="A87" s="1164"/>
      <c r="B87" s="318"/>
      <c r="C87" s="604" t="s">
        <v>3870</v>
      </c>
      <c r="D87" s="298" t="s">
        <v>433</v>
      </c>
      <c r="E87" s="603">
        <v>131.61000000000001</v>
      </c>
      <c r="F87" s="602">
        <f t="shared" si="0"/>
        <v>78.966000000000008</v>
      </c>
      <c r="G87" s="601">
        <f t="shared" si="1"/>
        <v>0</v>
      </c>
      <c r="H87" s="39">
        <f t="shared" si="10"/>
        <v>6.6726270000000012</v>
      </c>
      <c r="I87" s="599">
        <f t="shared" si="3"/>
        <v>0</v>
      </c>
      <c r="J87" s="600">
        <f t="shared" si="11"/>
        <v>2.5269120000000003</v>
      </c>
      <c r="K87" s="599">
        <f t="shared" si="5"/>
        <v>0</v>
      </c>
      <c r="L87" s="39">
        <f t="shared" si="12"/>
        <v>2.0768058000000003</v>
      </c>
      <c r="M87" s="599">
        <f t="shared" si="7"/>
        <v>0</v>
      </c>
      <c r="N87" s="600">
        <f t="shared" si="13"/>
        <v>1.7293554000000002</v>
      </c>
      <c r="O87" s="599">
        <f t="shared" si="9"/>
        <v>0</v>
      </c>
      <c r="P87" s="640"/>
    </row>
    <row r="88" spans="1:16" ht="13.5" thickBot="1">
      <c r="A88" s="1164"/>
      <c r="B88" s="318"/>
      <c r="C88" s="604" t="s">
        <v>3871</v>
      </c>
      <c r="D88" s="298" t="s">
        <v>385</v>
      </c>
      <c r="E88" s="603">
        <v>1075.3499999999999</v>
      </c>
      <c r="F88" s="602">
        <f t="shared" si="0"/>
        <v>645.20999999999992</v>
      </c>
      <c r="G88" s="601">
        <f t="shared" si="1"/>
        <v>0</v>
      </c>
      <c r="H88" s="39">
        <f t="shared" si="10"/>
        <v>54.520244999999996</v>
      </c>
      <c r="I88" s="599">
        <f t="shared" si="3"/>
        <v>0</v>
      </c>
      <c r="J88" s="600">
        <f t="shared" si="11"/>
        <v>20.646719999999998</v>
      </c>
      <c r="K88" s="599">
        <f t="shared" si="5"/>
        <v>0</v>
      </c>
      <c r="L88" s="39">
        <f t="shared" si="12"/>
        <v>16.969023</v>
      </c>
      <c r="M88" s="599">
        <f t="shared" si="7"/>
        <v>0</v>
      </c>
      <c r="N88" s="600">
        <f t="shared" si="13"/>
        <v>14.130098999999998</v>
      </c>
      <c r="O88" s="599">
        <f t="shared" si="9"/>
        <v>0</v>
      </c>
      <c r="P88" s="640"/>
    </row>
    <row r="89" spans="1:16" ht="13.5" thickBot="1">
      <c r="A89" s="1164"/>
      <c r="B89" s="318"/>
      <c r="C89" s="604" t="s">
        <v>3872</v>
      </c>
      <c r="D89" s="298" t="s">
        <v>386</v>
      </c>
      <c r="E89" s="603">
        <v>1402.77</v>
      </c>
      <c r="F89" s="602">
        <f t="shared" si="0"/>
        <v>841.66199999999992</v>
      </c>
      <c r="G89" s="601">
        <f t="shared" si="1"/>
        <v>0</v>
      </c>
      <c r="H89" s="39">
        <f t="shared" si="10"/>
        <v>71.120439000000005</v>
      </c>
      <c r="I89" s="599">
        <f t="shared" si="3"/>
        <v>0</v>
      </c>
      <c r="J89" s="600">
        <f t="shared" si="11"/>
        <v>26.933183999999997</v>
      </c>
      <c r="K89" s="599">
        <f t="shared" si="5"/>
        <v>0</v>
      </c>
      <c r="L89" s="39">
        <f t="shared" si="12"/>
        <v>22.135710599999999</v>
      </c>
      <c r="M89" s="599">
        <f t="shared" si="7"/>
        <v>0</v>
      </c>
      <c r="N89" s="600">
        <f t="shared" si="13"/>
        <v>18.432397799999997</v>
      </c>
      <c r="O89" s="599">
        <f t="shared" si="9"/>
        <v>0</v>
      </c>
      <c r="P89" s="640"/>
    </row>
    <row r="90" spans="1:16" ht="13.5" thickBot="1">
      <c r="A90" s="1164"/>
      <c r="B90" s="323"/>
      <c r="C90" s="604" t="s">
        <v>3873</v>
      </c>
      <c r="D90" s="298" t="s">
        <v>387</v>
      </c>
      <c r="E90" s="603">
        <v>1651.01</v>
      </c>
      <c r="F90" s="602">
        <f t="shared" si="0"/>
        <v>990.60599999999999</v>
      </c>
      <c r="G90" s="601">
        <f t="shared" si="1"/>
        <v>0</v>
      </c>
      <c r="H90" s="39">
        <f t="shared" si="10"/>
        <v>83.706207000000006</v>
      </c>
      <c r="I90" s="599">
        <f t="shared" si="3"/>
        <v>0</v>
      </c>
      <c r="J90" s="600">
        <f t="shared" si="11"/>
        <v>31.699392</v>
      </c>
      <c r="K90" s="599">
        <f t="shared" si="5"/>
        <v>0</v>
      </c>
      <c r="L90" s="39">
        <f t="shared" si="12"/>
        <v>26.052937799999999</v>
      </c>
      <c r="M90" s="599">
        <f t="shared" si="7"/>
        <v>0</v>
      </c>
      <c r="N90" s="600">
        <f t="shared" si="13"/>
        <v>21.694271399999998</v>
      </c>
      <c r="O90" s="599">
        <f t="shared" si="9"/>
        <v>0</v>
      </c>
      <c r="P90" s="640"/>
    </row>
    <row r="91" spans="1:16" ht="13.5" thickBot="1">
      <c r="A91" s="1164"/>
      <c r="B91" s="319"/>
      <c r="C91" s="604" t="s">
        <v>254</v>
      </c>
      <c r="D91" s="605" t="s">
        <v>3874</v>
      </c>
      <c r="E91" s="603">
        <v>1964.52</v>
      </c>
      <c r="F91" s="602">
        <f t="shared" si="0"/>
        <v>1178.712</v>
      </c>
      <c r="G91" s="601">
        <f t="shared" si="1"/>
        <v>0</v>
      </c>
      <c r="H91" s="39">
        <f t="shared" si="10"/>
        <v>99.601164000000011</v>
      </c>
      <c r="I91" s="599">
        <f t="shared" si="3"/>
        <v>0</v>
      </c>
      <c r="J91" s="600">
        <f t="shared" si="11"/>
        <v>37.718783999999999</v>
      </c>
      <c r="K91" s="599">
        <f t="shared" si="5"/>
        <v>0</v>
      </c>
      <c r="L91" s="39">
        <f t="shared" si="12"/>
        <v>31.000125600000001</v>
      </c>
      <c r="M91" s="599">
        <f t="shared" si="7"/>
        <v>0</v>
      </c>
      <c r="N91" s="600">
        <f t="shared" si="13"/>
        <v>25.813792799999998</v>
      </c>
      <c r="O91" s="599">
        <f t="shared" si="9"/>
        <v>0</v>
      </c>
      <c r="P91" s="640"/>
    </row>
    <row r="92" spans="1:16" ht="13.5" thickBot="1">
      <c r="A92" s="1164"/>
      <c r="B92" s="318"/>
      <c r="C92" s="604" t="s">
        <v>256</v>
      </c>
      <c r="D92" s="605" t="s">
        <v>3875</v>
      </c>
      <c r="E92" s="603">
        <v>690.15</v>
      </c>
      <c r="F92" s="602">
        <f t="shared" si="0"/>
        <v>414.09</v>
      </c>
      <c r="G92" s="601">
        <f t="shared" si="1"/>
        <v>0</v>
      </c>
      <c r="H92" s="39">
        <f t="shared" si="10"/>
        <v>34.990605000000002</v>
      </c>
      <c r="I92" s="599">
        <f t="shared" si="3"/>
        <v>0</v>
      </c>
      <c r="J92" s="600">
        <f t="shared" si="11"/>
        <v>13.250879999999999</v>
      </c>
      <c r="K92" s="599">
        <f t="shared" si="5"/>
        <v>0</v>
      </c>
      <c r="L92" s="39">
        <f t="shared" si="12"/>
        <v>10.890566999999999</v>
      </c>
      <c r="M92" s="599">
        <f t="shared" si="7"/>
        <v>0</v>
      </c>
      <c r="N92" s="600">
        <f t="shared" si="13"/>
        <v>9.0685709999999986</v>
      </c>
      <c r="O92" s="599">
        <f t="shared" si="9"/>
        <v>0</v>
      </c>
      <c r="P92" s="640"/>
    </row>
    <row r="93" spans="1:16" ht="13.5" thickBot="1">
      <c r="A93" s="1164"/>
      <c r="B93" s="319"/>
      <c r="C93" s="604" t="s">
        <v>3876</v>
      </c>
      <c r="D93" s="605" t="s">
        <v>4043</v>
      </c>
      <c r="E93" s="603">
        <v>690.15</v>
      </c>
      <c r="F93" s="602">
        <f t="shared" si="0"/>
        <v>414.09</v>
      </c>
      <c r="G93" s="601">
        <f t="shared" si="1"/>
        <v>0</v>
      </c>
      <c r="H93" s="39">
        <f t="shared" si="10"/>
        <v>34.990605000000002</v>
      </c>
      <c r="I93" s="599">
        <f t="shared" si="3"/>
        <v>0</v>
      </c>
      <c r="J93" s="600">
        <f t="shared" si="11"/>
        <v>13.250879999999999</v>
      </c>
      <c r="K93" s="599">
        <f t="shared" si="5"/>
        <v>0</v>
      </c>
      <c r="L93" s="39">
        <f t="shared" si="12"/>
        <v>10.890566999999999</v>
      </c>
      <c r="M93" s="599">
        <f t="shared" si="7"/>
        <v>0</v>
      </c>
      <c r="N93" s="600">
        <f t="shared" si="13"/>
        <v>9.0685709999999986</v>
      </c>
      <c r="O93" s="599">
        <f t="shared" si="9"/>
        <v>0</v>
      </c>
      <c r="P93" s="640"/>
    </row>
    <row r="94" spans="1:16" s="519" customFormat="1" ht="13.5" thickBot="1">
      <c r="A94" s="1164"/>
      <c r="B94" s="319"/>
      <c r="C94" s="297" t="s">
        <v>257</v>
      </c>
      <c r="D94" s="298" t="s">
        <v>3878</v>
      </c>
      <c r="E94" s="606">
        <v>1348</v>
      </c>
      <c r="F94" s="38">
        <f t="shared" si="0"/>
        <v>808.8</v>
      </c>
      <c r="G94" s="396">
        <f t="shared" si="1"/>
        <v>0</v>
      </c>
      <c r="H94" s="397">
        <f t="shared" si="10"/>
        <v>68.343599999999995</v>
      </c>
      <c r="I94" s="397">
        <f t="shared" si="3"/>
        <v>0</v>
      </c>
      <c r="J94" s="397">
        <f t="shared" si="11"/>
        <v>25.881599999999999</v>
      </c>
      <c r="K94" s="397">
        <f t="shared" si="5"/>
        <v>0</v>
      </c>
      <c r="L94" s="397">
        <f t="shared" si="12"/>
        <v>21.271439999999998</v>
      </c>
      <c r="M94" s="397">
        <f t="shared" si="7"/>
        <v>0</v>
      </c>
      <c r="N94" s="397">
        <f t="shared" si="13"/>
        <v>17.712719999999997</v>
      </c>
      <c r="O94" s="397">
        <f t="shared" si="9"/>
        <v>0</v>
      </c>
      <c r="P94" s="640"/>
    </row>
    <row r="95" spans="1:16" ht="13.5" thickBot="1">
      <c r="A95" s="1164"/>
      <c r="B95" s="318"/>
      <c r="C95" s="604" t="s">
        <v>258</v>
      </c>
      <c r="D95" s="298" t="s">
        <v>223</v>
      </c>
      <c r="E95" s="603">
        <v>56.71</v>
      </c>
      <c r="F95" s="602">
        <f t="shared" si="0"/>
        <v>34.025999999999996</v>
      </c>
      <c r="G95" s="601">
        <f t="shared" si="1"/>
        <v>0</v>
      </c>
      <c r="H95" s="39">
        <f t="shared" si="10"/>
        <v>2.875197</v>
      </c>
      <c r="I95" s="599">
        <f t="shared" si="3"/>
        <v>0</v>
      </c>
      <c r="J95" s="600">
        <f t="shared" si="11"/>
        <v>1.0888319999999998</v>
      </c>
      <c r="K95" s="599">
        <f t="shared" si="5"/>
        <v>0</v>
      </c>
      <c r="L95" s="39">
        <f t="shared" si="12"/>
        <v>0.8948837999999999</v>
      </c>
      <c r="M95" s="599">
        <f t="shared" si="7"/>
        <v>0</v>
      </c>
      <c r="N95" s="600">
        <f t="shared" si="13"/>
        <v>0.74516939999999987</v>
      </c>
      <c r="O95" s="599">
        <f t="shared" si="9"/>
        <v>0</v>
      </c>
      <c r="P95" s="640"/>
    </row>
    <row r="96" spans="1:16" ht="13.5" thickBot="1">
      <c r="A96" s="1164"/>
      <c r="B96" s="319"/>
      <c r="C96" s="604" t="s">
        <v>259</v>
      </c>
      <c r="D96" s="298" t="s">
        <v>436</v>
      </c>
      <c r="E96" s="603">
        <v>32.1</v>
      </c>
      <c r="F96" s="602">
        <f t="shared" si="0"/>
        <v>19.260000000000002</v>
      </c>
      <c r="G96" s="601">
        <f t="shared" si="1"/>
        <v>0</v>
      </c>
      <c r="H96" s="39">
        <f t="shared" si="10"/>
        <v>1.6274700000000002</v>
      </c>
      <c r="I96" s="599">
        <f t="shared" si="3"/>
        <v>0</v>
      </c>
      <c r="J96" s="600">
        <f t="shared" si="11"/>
        <v>0.61632000000000009</v>
      </c>
      <c r="K96" s="599">
        <f t="shared" si="5"/>
        <v>0</v>
      </c>
      <c r="L96" s="39">
        <f t="shared" si="12"/>
        <v>0.50653800000000004</v>
      </c>
      <c r="M96" s="599">
        <f t="shared" si="7"/>
        <v>0</v>
      </c>
      <c r="N96" s="600">
        <f t="shared" si="13"/>
        <v>0.421794</v>
      </c>
      <c r="O96" s="599">
        <f t="shared" si="9"/>
        <v>0</v>
      </c>
      <c r="P96" s="640"/>
    </row>
    <row r="97" spans="1:16" ht="13.5" thickBot="1">
      <c r="A97" s="1164"/>
      <c r="B97" s="318"/>
      <c r="C97" s="604" t="s">
        <v>527</v>
      </c>
      <c r="D97" s="298" t="s">
        <v>224</v>
      </c>
      <c r="E97" s="603">
        <v>35.31</v>
      </c>
      <c r="F97" s="602">
        <f t="shared" si="0"/>
        <v>21.186</v>
      </c>
      <c r="G97" s="601">
        <f t="shared" si="1"/>
        <v>0</v>
      </c>
      <c r="H97" s="39">
        <f t="shared" si="10"/>
        <v>1.7902170000000002</v>
      </c>
      <c r="I97" s="599">
        <f t="shared" si="3"/>
        <v>0</v>
      </c>
      <c r="J97" s="600">
        <f t="shared" si="11"/>
        <v>0.677952</v>
      </c>
      <c r="K97" s="599">
        <f t="shared" si="5"/>
        <v>0</v>
      </c>
      <c r="L97" s="39">
        <f t="shared" si="12"/>
        <v>0.55719180000000001</v>
      </c>
      <c r="M97" s="599">
        <f t="shared" si="7"/>
        <v>0</v>
      </c>
      <c r="N97" s="600">
        <f t="shared" si="13"/>
        <v>0.46397339999999998</v>
      </c>
      <c r="O97" s="599">
        <f t="shared" si="9"/>
        <v>0</v>
      </c>
      <c r="P97" s="640"/>
    </row>
    <row r="98" spans="1:16" ht="26.25" thickBot="1">
      <c r="A98" s="1164"/>
      <c r="B98" s="318"/>
      <c r="C98" s="604" t="s">
        <v>298</v>
      </c>
      <c r="D98" s="605" t="s">
        <v>4044</v>
      </c>
      <c r="E98" s="603">
        <v>669.82</v>
      </c>
      <c r="F98" s="602">
        <f t="shared" si="0"/>
        <v>401.892</v>
      </c>
      <c r="G98" s="601">
        <f t="shared" si="1"/>
        <v>0</v>
      </c>
      <c r="H98" s="39">
        <f t="shared" si="10"/>
        <v>33.959873999999999</v>
      </c>
      <c r="I98" s="599">
        <f t="shared" si="3"/>
        <v>0</v>
      </c>
      <c r="J98" s="600">
        <f t="shared" si="11"/>
        <v>12.860544000000001</v>
      </c>
      <c r="K98" s="599">
        <f t="shared" si="5"/>
        <v>0</v>
      </c>
      <c r="L98" s="39">
        <f t="shared" si="12"/>
        <v>10.569759599999999</v>
      </c>
      <c r="M98" s="599">
        <f t="shared" si="7"/>
        <v>0</v>
      </c>
      <c r="N98" s="600">
        <f t="shared" si="13"/>
        <v>8.8014347999999991</v>
      </c>
      <c r="O98" s="599">
        <f t="shared" si="9"/>
        <v>0</v>
      </c>
      <c r="P98" s="640"/>
    </row>
    <row r="99" spans="1:16" ht="13.5" thickBot="1">
      <c r="A99" s="1164"/>
      <c r="B99" s="318"/>
      <c r="C99" s="604" t="s">
        <v>530</v>
      </c>
      <c r="D99" s="605" t="s">
        <v>3926</v>
      </c>
      <c r="E99" s="603">
        <v>306.02</v>
      </c>
      <c r="F99" s="602">
        <f t="shared" si="0"/>
        <v>183.61199999999999</v>
      </c>
      <c r="G99" s="601">
        <f t="shared" si="1"/>
        <v>0</v>
      </c>
      <c r="H99" s="39">
        <f t="shared" si="10"/>
        <v>15.515214</v>
      </c>
      <c r="I99" s="599">
        <f t="shared" si="3"/>
        <v>0</v>
      </c>
      <c r="J99" s="600">
        <f t="shared" si="11"/>
        <v>5.8755839999999999</v>
      </c>
      <c r="K99" s="599">
        <f t="shared" si="5"/>
        <v>0</v>
      </c>
      <c r="L99" s="39">
        <f t="shared" si="12"/>
        <v>4.8289955999999998</v>
      </c>
      <c r="M99" s="599">
        <f t="shared" si="7"/>
        <v>0</v>
      </c>
      <c r="N99" s="600">
        <f t="shared" si="13"/>
        <v>4.0211027999999995</v>
      </c>
      <c r="O99" s="599">
        <f t="shared" si="9"/>
        <v>0</v>
      </c>
      <c r="P99" s="640"/>
    </row>
    <row r="100" spans="1:16" ht="13.5" thickBot="1">
      <c r="A100" s="1164"/>
      <c r="B100" s="318"/>
      <c r="C100" s="604" t="s">
        <v>299</v>
      </c>
      <c r="D100" s="298" t="s">
        <v>437</v>
      </c>
      <c r="E100" s="603">
        <v>348.82</v>
      </c>
      <c r="F100" s="602">
        <f t="shared" si="0"/>
        <v>209.292</v>
      </c>
      <c r="G100" s="601">
        <f t="shared" si="1"/>
        <v>0</v>
      </c>
      <c r="H100" s="39">
        <f t="shared" si="10"/>
        <v>17.685174</v>
      </c>
      <c r="I100" s="599">
        <f t="shared" si="3"/>
        <v>0</v>
      </c>
      <c r="J100" s="600">
        <f t="shared" si="11"/>
        <v>6.6973440000000002</v>
      </c>
      <c r="K100" s="599">
        <f t="shared" si="5"/>
        <v>0</v>
      </c>
      <c r="L100" s="39">
        <f t="shared" si="12"/>
        <v>5.5043796</v>
      </c>
      <c r="M100" s="599">
        <f t="shared" si="7"/>
        <v>0</v>
      </c>
      <c r="N100" s="600">
        <f t="shared" si="13"/>
        <v>4.5834947999999995</v>
      </c>
      <c r="O100" s="599">
        <f t="shared" si="9"/>
        <v>0</v>
      </c>
      <c r="P100" s="640"/>
    </row>
    <row r="101" spans="1:16" ht="13.5" thickBot="1">
      <c r="A101" s="1165"/>
      <c r="B101" s="319"/>
      <c r="C101" s="297" t="s">
        <v>3880</v>
      </c>
      <c r="D101" s="298" t="s">
        <v>225</v>
      </c>
      <c r="E101" s="603">
        <v>132.68</v>
      </c>
      <c r="F101" s="602">
        <f t="shared" si="0"/>
        <v>79.608000000000004</v>
      </c>
      <c r="G101" s="601">
        <f t="shared" si="1"/>
        <v>0</v>
      </c>
      <c r="H101" s="39">
        <f t="shared" si="10"/>
        <v>6.7268760000000007</v>
      </c>
      <c r="I101" s="599">
        <f t="shared" si="3"/>
        <v>0</v>
      </c>
      <c r="J101" s="600">
        <f t="shared" si="11"/>
        <v>2.5474560000000004</v>
      </c>
      <c r="K101" s="599">
        <f t="shared" si="5"/>
        <v>0</v>
      </c>
      <c r="L101" s="39">
        <f t="shared" si="12"/>
        <v>2.0936904000000003</v>
      </c>
      <c r="M101" s="599">
        <f t="shared" si="7"/>
        <v>0</v>
      </c>
      <c r="N101" s="600">
        <f t="shared" si="13"/>
        <v>1.7434152000000001</v>
      </c>
      <c r="O101" s="599">
        <f t="shared" si="9"/>
        <v>0</v>
      </c>
      <c r="P101" s="640"/>
    </row>
    <row r="102" spans="1:16">
      <c r="D102" s="1166" t="s">
        <v>65</v>
      </c>
      <c r="E102" s="1088"/>
      <c r="F102" s="1088"/>
      <c r="G102" s="597">
        <f t="array" ref="G102">SUM(G50:G101)+G38:G50:G101+G42:G50:G101+G46</f>
        <v>0</v>
      </c>
      <c r="H102" s="557" t="s">
        <v>66</v>
      </c>
      <c r="I102" s="597">
        <f t="array" ref="I102">SUM(I50:I101)+I38:I50:I101+I42:I50:I101+I46</f>
        <v>0</v>
      </c>
      <c r="J102" s="557" t="s">
        <v>67</v>
      </c>
      <c r="K102" s="597">
        <f t="array" ref="K102">SUM(K50:K101)+K38:K50:K101+K42:K50:K101+K46</f>
        <v>0</v>
      </c>
      <c r="L102" s="557" t="s">
        <v>68</v>
      </c>
      <c r="M102" s="597">
        <f t="array" ref="M102">SUM(M50:M101)+M38:M50:M101+M42:M50:M101+M46</f>
        <v>0</v>
      </c>
      <c r="N102" s="557" t="s">
        <v>69</v>
      </c>
      <c r="O102" s="597">
        <f t="array" ref="O102">SUM(O50:O101)+O38:O50:O101+O42:O50:O101+O46</f>
        <v>0</v>
      </c>
    </row>
  </sheetData>
  <mergeCells count="60">
    <mergeCell ref="A4:O4"/>
    <mergeCell ref="A5:O5"/>
    <mergeCell ref="F10:I10"/>
    <mergeCell ref="A25:O25"/>
    <mergeCell ref="A26:D26"/>
    <mergeCell ref="E26:K26"/>
    <mergeCell ref="L26:O26"/>
    <mergeCell ref="A28:C28"/>
    <mergeCell ref="E28:H28"/>
    <mergeCell ref="I28:K28"/>
    <mergeCell ref="L28:M28"/>
    <mergeCell ref="N28:O28"/>
    <mergeCell ref="A27:C27"/>
    <mergeCell ref="E27:H27"/>
    <mergeCell ref="I27:K27"/>
    <mergeCell ref="L27:M27"/>
    <mergeCell ref="N27:O27"/>
    <mergeCell ref="N29:O29"/>
    <mergeCell ref="A30:C30"/>
    <mergeCell ref="E30:H30"/>
    <mergeCell ref="I30:K30"/>
    <mergeCell ref="L30:M30"/>
    <mergeCell ref="N30:O30"/>
    <mergeCell ref="A29:C29"/>
    <mergeCell ref="E29:H29"/>
    <mergeCell ref="I29:K29"/>
    <mergeCell ref="L29:M29"/>
    <mergeCell ref="A31:C31"/>
    <mergeCell ref="E31:H31"/>
    <mergeCell ref="I31:K31"/>
    <mergeCell ref="L31:M31"/>
    <mergeCell ref="N31:O31"/>
    <mergeCell ref="M42:M44"/>
    <mergeCell ref="F34:J34"/>
    <mergeCell ref="F36:G36"/>
    <mergeCell ref="H36:O36"/>
    <mergeCell ref="M38:M40"/>
    <mergeCell ref="O38:O40"/>
    <mergeCell ref="K38:K40"/>
    <mergeCell ref="F33:J33"/>
    <mergeCell ref="A38:A40"/>
    <mergeCell ref="B38:B40"/>
    <mergeCell ref="G38:G40"/>
    <mergeCell ref="I38:I40"/>
    <mergeCell ref="A49:O49"/>
    <mergeCell ref="A50:A101"/>
    <mergeCell ref="D102:F102"/>
    <mergeCell ref="O42:O44"/>
    <mergeCell ref="A46:A48"/>
    <mergeCell ref="B46:B48"/>
    <mergeCell ref="G46:G48"/>
    <mergeCell ref="I46:I48"/>
    <mergeCell ref="K46:K48"/>
    <mergeCell ref="M46:M48"/>
    <mergeCell ref="O46:O48"/>
    <mergeCell ref="A42:A44"/>
    <mergeCell ref="B42:B44"/>
    <mergeCell ref="G42:G44"/>
    <mergeCell ref="I42:I44"/>
    <mergeCell ref="K42:K44"/>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369BF6F32FAA4C9613ECD1D38D4C82" ma:contentTypeVersion="4" ma:contentTypeDescription="Create a new document." ma:contentTypeScope="" ma:versionID="626bb1fa7043e6eb36e23cc1dbc03f32">
  <xsd:schema xmlns:xsd="http://www.w3.org/2001/XMLSchema" xmlns:xs="http://www.w3.org/2001/XMLSchema" xmlns:p="http://schemas.microsoft.com/office/2006/metadata/properties" xmlns:ns3="f99095c3-5337-43d7-ad9e-76bee0bdfd57" targetNamespace="http://schemas.microsoft.com/office/2006/metadata/properties" ma:root="true" ma:fieldsID="368191ad260845c3a0697cb397c2c816" ns3:_="">
    <xsd:import namespace="f99095c3-5337-43d7-ad9e-76bee0bdfd57"/>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9095c3-5337-43d7-ad9e-76bee0bdfd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F0F8D0-1DC0-4086-9B02-49AAF762D815}">
  <ds:schemaRefs>
    <ds:schemaRef ds:uri="http://schemas.microsoft.com/sharepoint/v3/contenttype/forms"/>
  </ds:schemaRefs>
</ds:datastoreItem>
</file>

<file path=customXml/itemProps2.xml><?xml version="1.0" encoding="utf-8"?>
<ds:datastoreItem xmlns:ds="http://schemas.openxmlformats.org/officeDocument/2006/customXml" ds:itemID="{A912C8BC-FA62-47B5-91E4-D2FAD72AFD40}">
  <ds:schemaRefs>
    <ds:schemaRef ds:uri="http://purl.org/dc/terms/"/>
    <ds:schemaRef ds:uri="http://schemas.microsoft.com/office/2006/metadata/properties"/>
    <ds:schemaRef ds:uri="http://purl.org/dc/dcmitype/"/>
    <ds:schemaRef ds:uri="f99095c3-5337-43d7-ad9e-76bee0bdfd57"/>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1A10489C-D267-4710-A76B-F91FD7EC93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9095c3-5337-43d7-ad9e-76bee0bdfd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62</vt:i4>
      </vt:variant>
    </vt:vector>
  </HeadingPairs>
  <TitlesOfParts>
    <vt:vector size="145" baseType="lpstr">
      <vt:lpstr>Konica 4221i Segment #7</vt:lpstr>
      <vt:lpstr>Konica 5021i Segment #7</vt:lpstr>
      <vt:lpstr>Konica 4051i-Segment #8</vt:lpstr>
      <vt:lpstr>Konica 4751i-Segment #9</vt:lpstr>
      <vt:lpstr>Konica 227-Segment #10</vt:lpstr>
      <vt:lpstr>Konica 301i-Segment #10 </vt:lpstr>
      <vt:lpstr>Konica C251i-Segment #11</vt:lpstr>
      <vt:lpstr>Konica C3320i-Segment #11</vt:lpstr>
      <vt:lpstr>Konica C301i-Segment #11</vt:lpstr>
      <vt:lpstr>Konica 361i-Segment #12</vt:lpstr>
      <vt:lpstr>Konica 451i-Segment #12</vt:lpstr>
      <vt:lpstr>Konica C361i-Segment #13</vt:lpstr>
      <vt:lpstr>Konica 551i-Segment #14</vt:lpstr>
      <vt:lpstr>Konica C451i-Segment #15</vt:lpstr>
      <vt:lpstr>Konica C551i-Segment #15</vt:lpstr>
      <vt:lpstr>Konica C651i-Segment #15</vt:lpstr>
      <vt:lpstr>Konica C751i-Segment #15</vt:lpstr>
      <vt:lpstr>Konica 651i-Segment #16</vt:lpstr>
      <vt:lpstr>Konica 751i-Segment #17</vt:lpstr>
      <vt:lpstr>Konica 850i-Segment #17</vt:lpstr>
      <vt:lpstr>Konica 950i-Segment #17</vt:lpstr>
      <vt:lpstr>Konica 4201i Segment #24</vt:lpstr>
      <vt:lpstr>Lexmark m1246 Segment #24</vt:lpstr>
      <vt:lpstr>HP M102w Segment #24</vt:lpstr>
      <vt:lpstr>Konica 4201i Segment #25</vt:lpstr>
      <vt:lpstr>Lexmark m3250 Segment #25</vt:lpstr>
      <vt:lpstr>HP M203dw Segment #25</vt:lpstr>
      <vt:lpstr>Konica 4701i Segment #26</vt:lpstr>
      <vt:lpstr>Lexmark m5255 Segment #26</vt:lpstr>
      <vt:lpstr>HP M404n Segment #26 </vt:lpstr>
      <vt:lpstr>Lexmark xc2235 Segment #27</vt:lpstr>
      <vt:lpstr>HP M254dw Segment #27</vt:lpstr>
      <vt:lpstr>Lexmark C4150 Segment #28</vt:lpstr>
      <vt:lpstr>HP M454dn Segment #28</vt:lpstr>
      <vt:lpstr>Lexmark C6160 Segment #29</vt:lpstr>
      <vt:lpstr>HP M555dn Segment #29</vt:lpstr>
      <vt:lpstr>KIP 740 Series Segment #30</vt:lpstr>
      <vt:lpstr>KIP 760 Series Segment #31</vt:lpstr>
      <vt:lpstr>KIP 71 Series (WF) Segment #40</vt:lpstr>
      <vt:lpstr>HP PWXL 3900 (WF) Segment #40</vt:lpstr>
      <vt:lpstr>KIP 7582 (WF) Segment #41</vt:lpstr>
      <vt:lpstr>HP PWXL 4200 (WF) Segment #41</vt:lpstr>
      <vt:lpstr>KIP 7984 (WF) Segment #42</vt:lpstr>
      <vt:lpstr>HP PWXL 4600 (WF) Segment # 42</vt:lpstr>
      <vt:lpstr>HP PWXL 5100 (WF) Segment # 43</vt:lpstr>
      <vt:lpstr>HP SDPRO T1700(WF) Segment # 45</vt:lpstr>
      <vt:lpstr>HP T2600dr (WF) Segment  46</vt:lpstr>
      <vt:lpstr>HP PWXL 4200 (WF) Segment # 47</vt:lpstr>
      <vt:lpstr>KIP 7171K4 (WF) Segment #48</vt:lpstr>
      <vt:lpstr>HP OfficeJet 200 Segment #49</vt:lpstr>
      <vt:lpstr>Konica 2100-PP Segment #50 </vt:lpstr>
      <vt:lpstr>Konica 7120-PP Segment #50</vt:lpstr>
      <vt:lpstr>Konica 7136-PP Segment #50</vt:lpstr>
      <vt:lpstr>Konica C4065-PP Segment #51</vt:lpstr>
      <vt:lpstr>Konica C4070-PP Segment #51</vt:lpstr>
      <vt:lpstr>Konica C4080-PP Segment #51</vt:lpstr>
      <vt:lpstr>Konica C7090e-PP Segment #51</vt:lpstr>
      <vt:lpstr>Konica C7100e-PP Segment #51</vt:lpstr>
      <vt:lpstr>Konica C12010-PP Segment #51</vt:lpstr>
      <vt:lpstr>Konica C14010-PP Segment #51</vt:lpstr>
      <vt:lpstr>Konica Plastics 3D Segment #52</vt:lpstr>
      <vt:lpstr>HP P57750dw Segment #54</vt:lpstr>
      <vt:lpstr>HP P57750dw Segment #55</vt:lpstr>
      <vt:lpstr>HP E58650z Segment #55a-b</vt:lpstr>
      <vt:lpstr>HP E58650z Segment #56</vt:lpstr>
      <vt:lpstr>HP E77650z Segment #57</vt:lpstr>
      <vt:lpstr>High Speed Additional Items</vt:lpstr>
      <vt:lpstr>MPS</vt:lpstr>
      <vt:lpstr>PaperCut</vt:lpstr>
      <vt:lpstr>Prism ScanPath</vt:lpstr>
      <vt:lpstr>Dispatcher Pheonix</vt:lpstr>
      <vt:lpstr>Bizhub Marketplace</vt:lpstr>
      <vt:lpstr>Square 9 </vt:lpstr>
      <vt:lpstr>WEB CRD</vt:lpstr>
      <vt:lpstr>AccurioPro</vt:lpstr>
      <vt:lpstr>HP Mobile  Security Solutions</vt:lpstr>
      <vt:lpstr>PrintShop Mail</vt:lpstr>
      <vt:lpstr>PlanetPress</vt:lpstr>
      <vt:lpstr>EngageIT</vt:lpstr>
      <vt:lpstr>Professional Services</vt:lpstr>
      <vt:lpstr>HP XL 8000 Segment #42</vt:lpstr>
      <vt:lpstr>HP T1600 (WF) Segment #48</vt:lpstr>
      <vt:lpstr>HP T1600dr (WF) Segment #48</vt:lpstr>
      <vt:lpstr>'HP E58650z Segment #55a-b'!Print_Area</vt:lpstr>
      <vt:lpstr>'HP E58650z Segment #56'!Print_Area</vt:lpstr>
      <vt:lpstr>'HP E77650z Segment #57'!Print_Area</vt:lpstr>
      <vt:lpstr>'HP M102w Segment #24'!Print_Area</vt:lpstr>
      <vt:lpstr>'HP M203dw Segment #25'!Print_Area</vt:lpstr>
      <vt:lpstr>'HP M254dw Segment #27'!Print_Area</vt:lpstr>
      <vt:lpstr>'HP M404n Segment #26 '!Print_Area</vt:lpstr>
      <vt:lpstr>'HP M454dn Segment #28'!Print_Area</vt:lpstr>
      <vt:lpstr>'HP M555dn Segment #29'!Print_Area</vt:lpstr>
      <vt:lpstr>'HP OfficeJet 200 Segment #49'!Print_Area</vt:lpstr>
      <vt:lpstr>'HP P57750dw Segment #54'!Print_Area</vt:lpstr>
      <vt:lpstr>'HP P57750dw Segment #55'!Print_Area</vt:lpstr>
      <vt:lpstr>'HP PWXL 3900 (WF) Segment #40'!Print_Area</vt:lpstr>
      <vt:lpstr>'HP PWXL 4200 (WF) Segment # 47'!Print_Area</vt:lpstr>
      <vt:lpstr>'HP PWXL 4200 (WF) Segment #41'!Print_Area</vt:lpstr>
      <vt:lpstr>'HP PWXL 4600 (WF) Segment # 42'!Print_Area</vt:lpstr>
      <vt:lpstr>'HP PWXL 5100 (WF) Segment # 43'!Print_Area</vt:lpstr>
      <vt:lpstr>'HP SDPRO T1700(WF) Segment # 45'!Print_Area</vt:lpstr>
      <vt:lpstr>'HP T1600 (WF) Segment #48'!Print_Area</vt:lpstr>
      <vt:lpstr>'HP T1600dr (WF) Segment #48'!Print_Area</vt:lpstr>
      <vt:lpstr>'HP T2600dr (WF) Segment  46'!Print_Area</vt:lpstr>
      <vt:lpstr>'KIP 71 Series (WF) Segment #40'!Print_Area</vt:lpstr>
      <vt:lpstr>'KIP 7171K4 (WF) Segment #48'!Print_Area</vt:lpstr>
      <vt:lpstr>'KIP 740 Series Segment #30'!Print_Area</vt:lpstr>
      <vt:lpstr>'KIP 7582 (WF) Segment #41'!Print_Area</vt:lpstr>
      <vt:lpstr>'KIP 760 Series Segment #31'!Print_Area</vt:lpstr>
      <vt:lpstr>'KIP 7984 (WF) Segment #42'!Print_Area</vt:lpstr>
      <vt:lpstr>'Konica 2100-PP Segment #50 '!Print_Area</vt:lpstr>
      <vt:lpstr>'Konica 301i-Segment #10 '!Print_Area</vt:lpstr>
      <vt:lpstr>'Konica 361i-Segment #12'!Print_Area</vt:lpstr>
      <vt:lpstr>'Konica 4051i-Segment #8'!Print_Area</vt:lpstr>
      <vt:lpstr>'Konica 4201i Segment #24'!Print_Area</vt:lpstr>
      <vt:lpstr>'Konica 4201i Segment #25'!Print_Area</vt:lpstr>
      <vt:lpstr>'Konica 4221i Segment #7'!Print_Area</vt:lpstr>
      <vt:lpstr>'Konica 451i-Segment #12'!Print_Area</vt:lpstr>
      <vt:lpstr>'Konica 4701i Segment #26'!Print_Area</vt:lpstr>
      <vt:lpstr>'Konica 4751i-Segment #9'!Print_Area</vt:lpstr>
      <vt:lpstr>'Konica 5021i Segment #7'!Print_Area</vt:lpstr>
      <vt:lpstr>'Konica 551i-Segment #14'!Print_Area</vt:lpstr>
      <vt:lpstr>'Konica 651i-Segment #16'!Print_Area</vt:lpstr>
      <vt:lpstr>'Konica 7120-PP Segment #50'!Print_Area</vt:lpstr>
      <vt:lpstr>'Konica 7136-PP Segment #50'!Print_Area</vt:lpstr>
      <vt:lpstr>'Konica 751i-Segment #17'!Print_Area</vt:lpstr>
      <vt:lpstr>'Konica 850i-Segment #17'!Print_Area</vt:lpstr>
      <vt:lpstr>'Konica 950i-Segment #17'!Print_Area</vt:lpstr>
      <vt:lpstr>'Konica C12010-PP Segment #51'!Print_Area</vt:lpstr>
      <vt:lpstr>'Konica C14010-PP Segment #51'!Print_Area</vt:lpstr>
      <vt:lpstr>'Konica C251i-Segment #11'!Print_Area</vt:lpstr>
      <vt:lpstr>'Konica C301i-Segment #11'!Print_Area</vt:lpstr>
      <vt:lpstr>'Konica C3320i-Segment #11'!Print_Area</vt:lpstr>
      <vt:lpstr>'Konica C361i-Segment #13'!Print_Area</vt:lpstr>
      <vt:lpstr>'Konica C4065-PP Segment #51'!Print_Area</vt:lpstr>
      <vt:lpstr>'Konica C4070-PP Segment #51'!Print_Area</vt:lpstr>
      <vt:lpstr>'Konica C4080-PP Segment #51'!Print_Area</vt:lpstr>
      <vt:lpstr>'Konica C7100e-PP Segment #51'!Print_Area</vt:lpstr>
      <vt:lpstr>'Konica Plastics 3D Segment #52'!Print_Area</vt:lpstr>
      <vt:lpstr>'Lexmark C4150 Segment #28'!Print_Area</vt:lpstr>
      <vt:lpstr>'Lexmark C6160 Segment #29'!Print_Area</vt:lpstr>
      <vt:lpstr>'Lexmark m1246 Segment #24'!Print_Area</vt:lpstr>
      <vt:lpstr>'Lexmark m3250 Segment #25'!Print_Area</vt:lpstr>
      <vt:lpstr>'Lexmark m5255 Segment #26'!Print_Area</vt:lpstr>
      <vt:lpstr>'Lexmark xc2235 Segment #27'!Print_Area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Gregg, Debora</dc:creator>
  <cp:keywords/>
  <dc:description/>
  <cp:lastModifiedBy>Ahmad,Tracey</cp:lastModifiedBy>
  <cp:revision/>
  <dcterms:created xsi:type="dcterms:W3CDTF">2017-06-28T18:49:11Z</dcterms:created>
  <dcterms:modified xsi:type="dcterms:W3CDTF">2026-02-12T21:32:13Z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0x01010092369BF6F32FAA4C9613ECD1D38D4C82</vt:lpwstr>
  </property>
</Properties>
</file>